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Exhibit - Hotel" sheetId="2" state="visible" r:id="rId4"/>
    <sheet name="Comp - Hotel" sheetId="3" state="visible" r:id="rId5"/>
    <sheet name="Inpu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<sst xmlns="http://schemas.openxmlformats.org/spreadsheetml/2006/main" count="714" uniqueCount="445">
  <si>
    <t xml:space="preserve">MAYADEEN PARK — Hotel component model</t>
  </si>
  <si>
    <t xml:space="preserve">Extract of the Mayadeen Park Financing Model v1.0 (21 Oct 2026) · Confidential</t>
  </si>
  <si>
    <t xml:space="preserve">Scope</t>
  </si>
  <si>
    <t xml:space="preserve">600-key Hotel (300 hotel + 300 serviced apartments) — allocated capex, revenue drivers, EBITDA, Koushan AM fee, Al-Maqr revenue share and land rent, SPV overheads, free cash flow and component IRR</t>
  </si>
  <si>
    <t xml:space="preserve">Inputs</t>
  </si>
  <si>
    <t xml:space="preserve">The Inputs sheet is a full copy of the master model's inputs (same cell addresses), so formulas here are identical to the master. Blue = input.</t>
  </si>
  <si>
    <t xml:space="preserve">Allocation</t>
  </si>
  <si>
    <t xml:space="preserve">Direct items (hotel FF&amp;E, Centre content, pre-opening) are charged to their component; all other GMP items are allocated by built-up area; fixed land rent and SPV overheads (which cover the asset-management role — no separate Koushan AM fee) are shared between the Experience Centre and retail in proportion to stabilised 2032 revenue; none to the hotel.</t>
  </si>
  <si>
    <t xml:space="preserve">Tie-out</t>
  </si>
  <si>
    <t xml:space="preserve">The sum of the three component schedules equals the SPV cash flow in the master model (capex SAR 550.1M; NOI after fees in every year).</t>
  </si>
  <si>
    <t xml:space="preserve">Master model</t>
  </si>
  <si>
    <t xml:space="preserve">Mayadeen Park - Financing Model v1.0.xlsx (SPV cash flow, shareholder-loan waterfall, Returns, Bank KPIs, Sensitivity)</t>
  </si>
  <si>
    <t xml:space="preserve">Exhibit: Hotel Returns</t>
  </si>
  <si>
    <t xml:space="preserve">Category</t>
  </si>
  <si>
    <t xml:space="preserve">Total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</si>
  <si>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</si>
  <si>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</si>
  <si>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</si>
  <si>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</si>
  <si>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</si>
  <si>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</si>
  <si>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</si>
  <si>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</si>
  <si>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</si>
  <si>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</si>
  <si>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</si>
  <si>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</si>
  <si>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</si>
  <si>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</si>
  <si>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</si>
  <si>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SAR'000 unless stated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</si>
  <si>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</si>
  <si>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</si>
  <si>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</si>
  <si>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</si>
  <si>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</si>
  <si>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</si>
  <si>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</si>
  <si>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</si>
  <si>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</si>
  <si>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</si>
  <si>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</si>
  <si>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</si>
  <si>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</si>
  <si>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</si>
  <si>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</si>
  <si>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Key assumptions</t>
  </si>
  <si>
    <t xml:space="preserve">Keys (300 hotel + 300 serviced apartments)</t>
  </si>
  <si>
    <t xml:space="preserve">Blended ADR, SAR</t>
  </si>
  <si>
    <t xml:space="preserve">Blended occupancy</t>
  </si>
  <si>
    <t xml:space="preserve">RevPAR, SAR</t>
  </si>
  <si>
    <t xml:space="preserve">Other revenue (F&amp;B, other) as % of rooms revenue</t>
  </si>
  <si>
    <t xml:space="preserve">GOP margin (IHG benchmark)</t>
  </si>
  <si>
    <t xml:space="preserve">Operator base fee, % of revenue (plus 8% of GOP incentive and 4% FF&amp;E reserve)</t>
  </si>
  <si>
    <t xml:space="preserve">Operations</t>
  </si>
  <si>
    <t xml:space="preserve">Revenue</t>
  </si>
  <si>
    <t xml:space="preserve">EBITDA | Hotel (after operator fees)</t>
  </si>
  <si>
    <t xml:space="preserve">Koushan Asset Management Fee</t>
  </si>
  <si>
    <t xml:space="preserve">Land Lease (revenue share)</t>
  </si>
  <si>
    <t xml:space="preserve">Land Lease Cost (allocated)</t>
  </si>
  <si>
    <t xml:space="preserve">SPV overheads (allocated)</t>
  </si>
  <si>
    <t xml:space="preserve">Component NOI</t>
  </si>
  <si>
    <t xml:space="preserve">Capex</t>
  </si>
  <si>
    <t xml:space="preserve">  Structural works</t>
  </si>
  <si>
    <t xml:space="preserve">  Finishes</t>
  </si>
  <si>
    <t xml:space="preserve">  MEP works</t>
  </si>
  <si>
    <t xml:space="preserve">  Landscaping, water features &amp; infrastructure</t>
  </si>
  <si>
    <t xml:space="preserve">  Hotel FF&amp;E (net of pre-opening)</t>
  </si>
  <si>
    <t xml:space="preserve">  Contingency &amp; project management reserves</t>
  </si>
  <si>
    <t xml:space="preserve">  Design, supervision, fees &amp; permits</t>
  </si>
  <si>
    <t xml:space="preserve">  Marketing, rent &amp; administration during construction</t>
  </si>
  <si>
    <t xml:space="preserve">  Pre-opening (within the SAR 550M cap)</t>
  </si>
  <si>
    <t xml:space="preserve">Total CapEx</t>
  </si>
  <si>
    <t xml:space="preserve">Net Cash</t>
  </si>
  <si>
    <t xml:space="preserve">Exit Value at exhibit cap (final year, leasehold-adjusted)</t>
  </si>
  <si>
    <t xml:space="preserve">Net Cashflows including TV</t>
  </si>
  <si>
    <t xml:space="preserve">Hotel IRR</t>
  </si>
  <si>
    <t xml:space="preserve">Years 1–15 = 2026–2040. Exit in Year 15 at the exhibit cap rate (Inputs). Before zakat. Shared GMP items allocated by built-up area; fixed land rent and SPV overheads shared between the Experience Centre and retail in proportion to stabilised (2032) revenue, none to the hotel; no separate asset-management fee (covered by the SPV overhead).</t>
  </si>
  <si>
    <t xml:space="preserve">Hotel — Component Schedule (SAR M)</t>
  </si>
  <si>
    <t xml:space="preserve">600-key Hotel (300 hotel + 300 serviced apartments). Capex allocated per Inputs rule; revenue and EBITDA per the operating model; fees and rent per agreements. Component IRR on allocated cash flows.</t>
  </si>
  <si>
    <t xml:space="preserve">SAR million</t>
  </si>
  <si>
    <t xml:space="preserve">Notes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</si>
  <si>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</si>
  <si>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</si>
  <si>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</si>
  <si>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</si>
  <si>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</si>
  <si>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</si>
  <si>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</si>
  <si>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</si>
  <si>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</si>
  <si>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</si>
  <si>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</si>
  <si>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</si>
  <si>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</si>
  <si>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</si>
  <si>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</si>
  <si>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</si>
  <si>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</si>
  <si>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</si>
  <si>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</si>
  <si>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</si>
  <si>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</si>
  <si>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</si>
  <si>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</si>
  <si>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</si>
  <si>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</si>
  <si>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</si>
  <si>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</si>
  <si>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</si>
  <si>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</si>
  <si>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</si>
  <si>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</si>
  <si>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</si>
  <si>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</si>
  <si>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</si>
  <si>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A. Capital expenditure — budget items allocated to the component (within the SAR 550M cap)</t>
  </si>
  <si>
    <t xml:space="preserve">Structural works</t>
  </si>
  <si>
    <t xml:space="preserve">Finishes</t>
  </si>
  <si>
    <t xml:space="preserve">MEP works</t>
  </si>
  <si>
    <t xml:space="preserve">Landscaping, water features &amp; infrastructure</t>
  </si>
  <si>
    <t xml:space="preserve">Hotel FF&amp;E (net of pre-opening)</t>
  </si>
  <si>
    <t xml:space="preserve">Experience Centre content &amp; AV systems</t>
  </si>
  <si>
    <t xml:space="preserve">Contingency reserve</t>
  </si>
  <si>
    <t xml:space="preserve">Project management reserve</t>
  </si>
  <si>
    <t xml:space="preserve">Design</t>
  </si>
  <si>
    <t xml:space="preserve">Supervision</t>
  </si>
  <si>
    <t xml:space="preserve">Fees &amp; permits</t>
  </si>
  <si>
    <t xml:space="preserve">Marketing &amp; pre-opening (within GMP)</t>
  </si>
  <si>
    <t xml:space="preserve">Rent &amp; administration during construction</t>
  </si>
  <si>
    <t xml:space="preserve">Hard cost (construction, FF&amp;E, content, reserves)</t>
  </si>
  <si>
    <t xml:space="preserve">Soft cost (design, supervision, fees, marketing, rent &amp; admin)</t>
  </si>
  <si>
    <t xml:space="preserve">Pre-opening (funded within the cap)</t>
  </si>
  <si>
    <t xml:space="preserve">Total component capex</t>
  </si>
  <si>
    <t xml:space="preserve">B. Revenue drivers</t>
  </si>
  <si>
    <t xml:space="preserve">ADR index (2029 = 1.00)</t>
  </si>
  <si>
    <t xml:space="preserve">Blended ADR, SAR (4 peak months @ peak ADR, 8 months off-peak, occupancy-weighted)</t>
  </si>
  <si>
    <t xml:space="preserve">Blended occupancy (× ramp)</t>
  </si>
  <si>
    <t xml:space="preserve">Trading factor (opening fraction × ramp)</t>
  </si>
  <si>
    <t xml:space="preserve">Stabilised total revenue at 2029 prices</t>
  </si>
  <si>
    <t xml:space="preserve">Hotel revenue (rooms + F&amp;B + other)</t>
  </si>
  <si>
    <t xml:space="preserve">Revenue per key, SAR '000</t>
  </si>
  <si>
    <t xml:space="preserve">GOP margin</t>
  </si>
  <si>
    <t xml:space="preserve">Gross operating profit</t>
  </si>
  <si>
    <t xml:space="preserve">Operator fees (base + incentive) and FF&amp;E reserve</t>
  </si>
  <si>
    <t xml:space="preserve">Component EBITDA (hotel NOI)</t>
  </si>
  <si>
    <t xml:space="preserve">C. SPV charges attributable to the component</t>
  </si>
  <si>
    <t xml:space="preserve">Koushan asset-management fee (5% of revenue where applicable)</t>
  </si>
  <si>
    <t xml:space="preserve">Al-Maqr revenue share (2% of component revenue)</t>
  </si>
  <si>
    <t xml:space="preserve">Al-Maqr fixed land rent × allocation share</t>
  </si>
  <si>
    <t xml:space="preserve">SPV overheads (G&amp;A + insurance) × allocation share</t>
  </si>
  <si>
    <t xml:space="preserve">COMPONENT NOI AFTER FEES AND RENT</t>
  </si>
  <si>
    <t xml:space="preserve">D. Component free cash flow and returns</t>
  </si>
  <si>
    <t xml:space="preserve">Free cash flow (NOI after fees − capex), before zakat</t>
  </si>
  <si>
    <t xml:space="preserve">Cumulative free cash flow</t>
  </si>
  <si>
    <t xml:space="preserve">Exit value in exit year (next-year NOI ÷ exit cap, leasehold-adjusted)</t>
  </si>
  <si>
    <t xml:space="preserve">Free cash flow with exit</t>
  </si>
  <si>
    <t xml:space="preserve">Summary</t>
  </si>
  <si>
    <t xml:space="preserve">Allocated capex (SAR M)</t>
  </si>
  <si>
    <t xml:space="preserve">Component NOI after fees — 2032</t>
  </si>
  <si>
    <t xml:space="preserve">FCF margin at stabilisation (2032 NOI ÷ revenue)</t>
  </si>
  <si>
    <t xml:space="preserve">Yield on allocated capex (2032)</t>
  </si>
  <si>
    <t xml:space="preserve">Component IRR — hold to 2074</t>
  </si>
  <si>
    <t xml:space="preserve">Component IRR — exit in exit year</t>
  </si>
  <si>
    <t xml:space="preserve">Payback year</t>
  </si>
  <si>
    <t xml:space="preserve">Mayadeen Park — Inputs &amp; Assumptions</t>
  </si>
  <si>
    <t xml:space="preserve">Blue = hard-coded input (editable). Black = formula. Every input cites its source. SAR million unless stated.</t>
  </si>
  <si>
    <t xml:space="preserve">Scenario levers (1.00 = base case)</t>
  </si>
  <si>
    <t xml:space="preserve">Construction cost multiplier</t>
  </si>
  <si>
    <t xml:space="preserve">x</t>
  </si>
  <si>
    <t xml:space="preserve">Sensitivity lever — base 1.00</t>
  </si>
  <si>
    <t xml:space="preserve">Hotel revenue multiplier</t>
  </si>
  <si>
    <t xml:space="preserve">Sensitivity lever</t>
  </si>
  <si>
    <t xml:space="preserve">Experience Centre revenue multiplier</t>
  </si>
  <si>
    <t xml:space="preserve">Retail revenue multiplier</t>
  </si>
  <si>
    <t xml:space="preserve">Opening delay (whole years, 0 or 1)</t>
  </si>
  <si>
    <t xml:space="preserve">yrs</t>
  </si>
  <si>
    <t xml:space="preserve">Sensitivity lever — shifts all revenue one year later</t>
  </si>
  <si>
    <t xml:space="preserve">Structure &amp; parties</t>
  </si>
  <si>
    <t xml:space="preserve">Watanco Contracting Co. shareholding — funder (interest-free shareholder loan) and EPCF contractor</t>
  </si>
  <si>
    <t xml:space="preserve">%</t>
  </si>
  <si>
    <t xml:space="preserve">Shareholders' decision 22 Oct 2026 (amendment to Master EPCF Agreement 13 Jul 2026, Art. 9.1 — in progress)</t>
  </si>
  <si>
    <t xml:space="preserve">Koushan Real Estate Development shareholding (land, design, permits)</t>
  </si>
  <si>
    <t xml:space="preserve">As above</t>
  </si>
  <si>
    <t xml:space="preserve">Koushan asset-management fee (% of revenue where the flag below is 1)</t>
  </si>
  <si>
    <t xml:space="preserve">Cancelled 22 Oct 2026: asset management is covered within the SPV's AM &amp; G&amp;A overhead (SAR 6.5M) — flags set to 0 to avoid double counting</t>
  </si>
  <si>
    <t xml:space="preserve">AM fee applies to hotel revenue (1 = yes, 0 = no)</t>
  </si>
  <si>
    <t xml:space="preserve">flag</t>
  </si>
  <si>
    <t xml:space="preserve">Shareholders' decision, Oct 2026: waived for hotel</t>
  </si>
  <si>
    <t xml:space="preserve">AM fee applies to Experience Centre revenue</t>
  </si>
  <si>
    <t xml:space="preserve">Shareholders' decision, Oct 2026: waived for the Centre</t>
  </si>
  <si>
    <t xml:space="preserve">AM fee applies to retail revenue</t>
  </si>
  <si>
    <t xml:space="preserve">Shareholders' decision, 22 Oct 2026: fee cancelled (0)</t>
  </si>
  <si>
    <t xml:space="preserve">Fixed land rent &amp; SPV overheads allocated to hotel (1 = yes, 0 = no)</t>
  </si>
  <si>
    <t xml:space="preserve">Shareholders' decision, 22 Oct 2026: not charged to the hotel</t>
  </si>
  <si>
    <t xml:space="preserve">Fixed land rent &amp; SPV overheads allocated to Experience Centre</t>
  </si>
  <si>
    <t xml:space="preserve">Shareholders' decision, 22 Oct 2026: shared with retail in proportion to stabilised revenue</t>
  </si>
  <si>
    <t xml:space="preserve">Fixed land rent &amp; SPV overheads allocated to retail</t>
  </si>
  <si>
    <t xml:space="preserve">Shareholders' decision, 22 Oct 2026: shared with the Centre in proportion to stabilised revenue</t>
  </si>
  <si>
    <t xml:space="preserve">Allocation weight — hotel: stabilised (2032) revenue × flag, SAR M</t>
  </si>
  <si>
    <t xml:space="preserve">SAR M</t>
  </si>
  <si>
    <t xml:space="preserve">Formula: Operations 2032 revenue × flag (values in the component models)</t>
  </si>
  <si>
    <t xml:space="preserve">Allocation weight — Experience Centre: stabilised (2032) revenue × flag, SAR M</t>
  </si>
  <si>
    <t xml:space="preserve">Allocation weight — retail: stabilised (2032) revenue × flag, SAR M</t>
  </si>
  <si>
    <t xml:space="preserve">Minimum operating cash held in SPV</t>
  </si>
  <si>
    <t xml:space="preserve">Watanco business plan assumption</t>
  </si>
  <si>
    <t xml:space="preserve">Capital expenditure — Watanco GMP SAR 550M (VAT inclusive), phased per Watanco Project Cash Flow (Oct 2026)</t>
  </si>
  <si>
    <t xml:space="preserve">Item</t>
  </si>
  <si>
    <t xml:space="preserve">Hotel FF&amp;E</t>
  </si>
  <si>
    <t xml:space="preserve">Total GMP (check = 550.0)</t>
  </si>
  <si>
    <t xml:space="preserve">Source: Watanco '15_Project_Cash_Flow_EN', §4 Uses by item and year</t>
  </si>
  <si>
    <t xml:space="preserve">VAT embedded in the SAR 550M (memo — recovery not in returns)</t>
  </si>
  <si>
    <t xml:space="preserve">Watanco Project Cash Flow §7 (conservative: excluded from IRR)</t>
  </si>
  <si>
    <t xml:space="preserve">Pre-opening — ON TOP of the SAR 550M GMP (shareholders' decision, Oct 2026)</t>
  </si>
  <si>
    <t xml:space="preserve">Experience Centre pre-opening per ProFun business plan</t>
  </si>
  <si>
    <t xml:space="preserve">ProFun business plan for Midwam, 18 Jan 2025</t>
  </si>
  <si>
    <t xml:space="preserve">Share funded by project (balance from operating income)</t>
  </si>
  <si>
    <t xml:space="preserve">Shareholders' decision, Oct 2026</t>
  </si>
  <si>
    <t xml:space="preserve">Phasing — 2027</t>
  </si>
  <si>
    <t xml:space="preserve">ProFun: 86% in last 12 months before opening</t>
  </si>
  <si>
    <t xml:space="preserve">Retail landlord fit-out contributions per Savills</t>
  </si>
  <si>
    <t xml:space="preserve">Savills Tenant Mix (24 Jul 2024) p.104–105: key units 32.68 + food court 6.98</t>
  </si>
  <si>
    <t xml:space="preserve">Phasing — 2028 (balance 2029 with leasing)</t>
  </si>
  <si>
    <t xml:space="preserve">Leasing ramp 50% / 70% / 92% (Savills)</t>
  </si>
  <si>
    <t xml:space="preserve">Hotel pre-opening — minimum</t>
  </si>
  <si>
    <t xml:space="preserve">Watanco feasibility study: SAR 25,000/key × 600 keys</t>
  </si>
  <si>
    <t xml:space="preserve">Phasing — 2028 (balance 2029)</t>
  </si>
  <si>
    <t xml:space="preserve">Watanco model: 5.0 in 2028, 10.0 in 2029</t>
  </si>
  <si>
    <t xml:space="preserve">Programme</t>
  </si>
  <si>
    <t xml:space="preserve">Experience Centre &amp; boulevard opening year</t>
  </si>
  <si>
    <t xml:space="preserve">year</t>
  </si>
  <si>
    <t xml:space="preserve">Watanco: grand opening Q4 2028</t>
  </si>
  <si>
    <t xml:space="preserve">Fraction of first year traded — Centre &amp; retail</t>
  </si>
  <si>
    <t xml:space="preserve">Q4 opening</t>
  </si>
  <si>
    <t xml:space="preserve">Hotel opening year</t>
  </si>
  <si>
    <t xml:space="preserve">Watanco: mid-2029</t>
  </si>
  <si>
    <t xml:space="preserve">Fraction of first year traded — hotel</t>
  </si>
  <si>
    <t xml:space="preserve">Mid-year opening</t>
  </si>
  <si>
    <t xml:space="preserve">Leasehold expiry (facilities revert to Al-Maqr, nil residual)</t>
  </si>
  <si>
    <t xml:space="preserve">Al-Maqr contract 23/007</t>
  </si>
  <si>
    <t xml:space="preserve">Hotel — 600 keys (base case: IHG Staybridge projections per key; operator/brand to be selected)</t>
  </si>
  <si>
    <t xml:space="preserve">keys</t>
  </si>
  <si>
    <t xml:space="preserve">Shareholders' data, Oct 2026</t>
  </si>
  <si>
    <t xml:space="preserve">Peak season months</t>
  </si>
  <si>
    <t xml:space="preserve">months</t>
  </si>
  <si>
    <t xml:space="preserve">Watanco model</t>
  </si>
  <si>
    <t xml:space="preserve">ADR — peak (2029 prices)</t>
  </si>
  <si>
    <t xml:space="preserve">SAR</t>
  </si>
  <si>
    <t xml:space="preserve">ADR — off-peak (2029 prices)</t>
  </si>
  <si>
    <t xml:space="preserve">Occupancy — peak</t>
  </si>
  <si>
    <t xml:space="preserve">Occupancy — off-peak</t>
  </si>
  <si>
    <t xml:space="preserve">Rooms revenue as % of total hotel revenue</t>
  </si>
  <si>
    <t xml:space="preserve">IHG Staybridge projections (retained as benchmark)</t>
  </si>
  <si>
    <t xml:space="preserve">Annual ADR growth</t>
  </si>
  <si>
    <t xml:space="preserve">IHG projections</t>
  </si>
  <si>
    <t xml:space="preserve">Ramp — year 1 (% of stabilised)</t>
  </si>
  <si>
    <t xml:space="preserve">IHG: 57%/63% occupancy</t>
  </si>
  <si>
    <t xml:space="preserve">Ramp — year 2</t>
  </si>
  <si>
    <t xml:space="preserve">IHG: 60%/63%</t>
  </si>
  <si>
    <t xml:space="preserve">GOP margin — year 1</t>
  </si>
  <si>
    <t xml:space="preserve">IHG</t>
  </si>
  <si>
    <t xml:space="preserve">GOP margin — year 2</t>
  </si>
  <si>
    <t xml:space="preserve">GOP margin — stabilised</t>
  </si>
  <si>
    <t xml:space="preserve">Operator base fee (% revenue)</t>
  </si>
  <si>
    <t xml:space="preserve">Shareholders' data</t>
  </si>
  <si>
    <t xml:space="preserve">Operator incentive fee (% GOP)</t>
  </si>
  <si>
    <t xml:space="preserve">FF&amp;E reserve (% revenue)</t>
  </si>
  <si>
    <t xml:space="preserve">Experience Centre — LDP Report 6.0 base case; operator Midwam (ProFun business plan)</t>
  </si>
  <si>
    <t xml:space="preserve">Centre full-year revenue — 2028</t>
  </si>
  <si>
    <t xml:space="preserve">LDP Report 6.0 base case (1.19M visitors in 2031)</t>
  </si>
  <si>
    <t xml:space="preserve">Centre full-year revenue — 2029</t>
  </si>
  <si>
    <t xml:space="preserve">Centre full-year revenue — 2030</t>
  </si>
  <si>
    <t xml:space="preserve">Centre full-year revenue — 2031</t>
  </si>
  <si>
    <t xml:space="preserve">Centre full-year revenue — 2032</t>
  </si>
  <si>
    <t xml:space="preserve">Centre full-year revenue — 2033</t>
  </si>
  <si>
    <t xml:space="preserve">Centre full-year revenue — 2034</t>
  </si>
  <si>
    <t xml:space="preserve">Centre full-year revenue — 2035</t>
  </si>
  <si>
    <t xml:space="preserve">Centre full-year revenue — 2036</t>
  </si>
  <si>
    <t xml:space="preserve">Centre full-year revenue — 2037</t>
  </si>
  <si>
    <t xml:space="preserve">Centre full-year revenue — 2038</t>
  </si>
  <si>
    <t xml:space="preserve">Centre full-year revenue — 2039</t>
  </si>
  <si>
    <t xml:space="preserve">Centre full-year revenue — 2040</t>
  </si>
  <si>
    <t xml:space="preserve">Centre revenue growth after 2040</t>
  </si>
  <si>
    <t xml:space="preserve">LDP / ProFun (inflation)</t>
  </si>
  <si>
    <t xml:space="preserve">Centre base case: 1 = LDP (Watanco model) · 2 = ProFun consolidated pro-forma</t>
  </si>
  <si>
    <t xml:space="preserve">case</t>
  </si>
  <si>
    <t xml:space="preserve">Shareholders' decision, Oct 2026: ProFun business plan p.58–59</t>
  </si>
  <si>
    <t xml:space="preserve">ProFun — Centre total revenue (full year, ex-VAT) 2028</t>
  </si>
  <si>
    <t xml:space="preserve">ProFun Pro Forma Business Plan Rev.1 (18 Jan 2025), consolidated projections p.59</t>
  </si>
  <si>
    <t xml:space="preserve">ProFun — Centre total revenue (full year, ex-VAT) 2029</t>
  </si>
  <si>
    <t xml:space="preserve">ProFun — Centre total revenue (full year, ex-VAT) 2030</t>
  </si>
  <si>
    <t xml:space="preserve">ProFun — Centre total revenue (full year, ex-VAT) 2031</t>
  </si>
  <si>
    <t xml:space="preserve">ProFun — Centre total revenue (full year, ex-VAT) 2032</t>
  </si>
  <si>
    <t xml:space="preserve">ProFun — Centre total revenue (full year, ex-VAT) 2033</t>
  </si>
  <si>
    <t xml:space="preserve">ProFun — Centre total revenue (full year, ex-VAT) 2034</t>
  </si>
  <si>
    <t xml:space="preserve">ProFun — Centre total revenue (full year, ex-VAT) 2035</t>
  </si>
  <si>
    <t xml:space="preserve">ProFun — Centre total revenue (full year, ex-VAT) 2036</t>
  </si>
  <si>
    <t xml:space="preserve">ProFun — Centre total revenue (full year, ex-VAT) 2037</t>
  </si>
  <si>
    <t xml:space="preserve">ProFun — Centre total revenue (full year, ex-VAT) 2038</t>
  </si>
  <si>
    <t xml:space="preserve">ProFun — Centre total revenue (full year, ex-VAT) 2039</t>
  </si>
  <si>
    <t xml:space="preserve">ProFun — Centre total revenue (full year, ex-VAT) 2040</t>
  </si>
  <si>
    <t xml:space="preserve">ProFun — Centre EBITDA after management fees 2028</t>
  </si>
  <si>
    <t xml:space="preserve">ProFun p.59: GOP less management fees (Midwam)</t>
  </si>
  <si>
    <t xml:space="preserve">ProFun — Centre EBITDA after management fees 2029</t>
  </si>
  <si>
    <t xml:space="preserve">ProFun — Centre EBITDA after management fees 2030</t>
  </si>
  <si>
    <t xml:space="preserve">ProFun — Centre EBITDA after management fees 2031</t>
  </si>
  <si>
    <t xml:space="preserve">ProFun — Centre EBITDA after management fees 2032</t>
  </si>
  <si>
    <t xml:space="preserve">ProFun — Centre EBITDA after management fees 2033</t>
  </si>
  <si>
    <t xml:space="preserve">ProFun — Centre EBITDA after management fees 2034</t>
  </si>
  <si>
    <t xml:space="preserve">ProFun — Centre EBITDA after management fees 2035</t>
  </si>
  <si>
    <t xml:space="preserve">ProFun — Centre EBITDA after management fees 2036</t>
  </si>
  <si>
    <t xml:space="preserve">ProFun — Centre EBITDA after management fees 2037</t>
  </si>
  <si>
    <t xml:space="preserve">ProFun — Centre EBITDA after management fees 2038</t>
  </si>
  <si>
    <t xml:space="preserve">ProFun — Centre EBITDA after management fees 2039</t>
  </si>
  <si>
    <t xml:space="preserve">ProFun — Centre EBITDA after management fees 2040</t>
  </si>
  <si>
    <t xml:space="preserve">ProFun — admissions revenue per visitor (SAR) 2028</t>
  </si>
  <si>
    <t xml:space="preserve">ProFun p.59: total admission purchases per cap (general, VIP, tour operator)</t>
  </si>
  <si>
    <t xml:space="preserve">ProFun — admissions revenue per visitor (SAR) 2029</t>
  </si>
  <si>
    <t xml:space="preserve">ProFun — admissions revenue per visitor (SAR) 2030</t>
  </si>
  <si>
    <t xml:space="preserve">ProFun — admissions revenue per visitor (SAR) 2031</t>
  </si>
  <si>
    <t xml:space="preserve">ProFun — admissions revenue per visitor (SAR) 2032</t>
  </si>
  <si>
    <t xml:space="preserve">ProFun — admissions revenue per visitor (SAR) 2033</t>
  </si>
  <si>
    <t xml:space="preserve">ProFun — admissions revenue per visitor (SAR) 2034</t>
  </si>
  <si>
    <t xml:space="preserve">ProFun — admissions revenue per visitor (SAR) 2035</t>
  </si>
  <si>
    <t xml:space="preserve">ProFun — admissions revenue per visitor (SAR) 2036</t>
  </si>
  <si>
    <t xml:space="preserve">ProFun — admissions revenue per visitor (SAR) 2037</t>
  </si>
  <si>
    <t xml:space="preserve">ProFun — admissions revenue per visitor (SAR) 2038</t>
  </si>
  <si>
    <t xml:space="preserve">ProFun — admissions revenue per visitor (SAR) 2039</t>
  </si>
  <si>
    <t xml:space="preserve">ProFun — admissions revenue per visitor (SAR) 2040</t>
  </si>
  <si>
    <t xml:space="preserve">ProFun — revenue per visitor (SAR) 2028</t>
  </si>
  <si>
    <t xml:space="preserve">ProFun p.59 per-cap; implies 1.14M visitors in 2028, 1.20M in 2031</t>
  </si>
  <si>
    <t xml:space="preserve">ProFun — revenue per visitor (SAR) 2029</t>
  </si>
  <si>
    <t xml:space="preserve">ProFun — revenue per visitor (SAR) 2030</t>
  </si>
  <si>
    <t xml:space="preserve">ProFun — revenue per visitor (SAR) 2031</t>
  </si>
  <si>
    <t xml:space="preserve">ProFun — revenue per visitor (SAR) 2032</t>
  </si>
  <si>
    <t xml:space="preserve">ProFun — revenue per visitor (SAR) 2033</t>
  </si>
  <si>
    <t xml:space="preserve">ProFun — revenue per visitor (SAR) 2034</t>
  </si>
  <si>
    <t xml:space="preserve">ProFun — revenue per visitor (SAR) 2035</t>
  </si>
  <si>
    <t xml:space="preserve">ProFun — revenue per visitor (SAR) 2036</t>
  </si>
  <si>
    <t xml:space="preserve">ProFun — revenue per visitor (SAR) 2037</t>
  </si>
  <si>
    <t xml:space="preserve">ProFun — revenue per visitor (SAR) 2038</t>
  </si>
  <si>
    <t xml:space="preserve">ProFun — revenue per visitor (SAR) 2039</t>
  </si>
  <si>
    <t xml:space="preserve">ProFun — revenue per visitor (SAR) 2040</t>
  </si>
  <si>
    <t xml:space="preserve">Centre EBITDA margin (before operator fees)</t>
  </si>
  <si>
    <t xml:space="preserve">LDP</t>
  </si>
  <si>
    <t xml:space="preserve">Midwam base fee (% revenue)</t>
  </si>
  <si>
    <t xml:space="preserve">Midwam incentive fee (% EBITDA)</t>
  </si>
  <si>
    <t xml:space="preserve">Content refresh (2028 prices, inflated)</t>
  </si>
  <si>
    <t xml:space="preserve">Shareholders' data: SAR 10M every 5 years</t>
  </si>
  <si>
    <t xml:space="preserve">Retail &amp; F&amp;B boulevard — Savills Tenant Mix &amp; Pro-forma (24 Jul 2024), scaled to the Phase 1 GLA</t>
  </si>
  <si>
    <t xml:space="preserve">Savills recommended GLA incl. mezzanine option (basis of the Savills pro-forma)</t>
  </si>
  <si>
    <t xml:space="preserve">sqm</t>
  </si>
  <si>
    <t xml:space="preserve">Savills p.5–7: 48,467 sqm units, outdoor, terraces &amp; storage + 5,300 sqm mezzanine</t>
  </si>
  <si>
    <t xml:space="preserve">Phase 1 GLA (Watanco Oct-2026 package)</t>
  </si>
  <si>
    <t xml:space="preserve">Watanco; expansion to Savills' recommended GLA as a later phase, per demand</t>
  </si>
  <si>
    <t xml:space="preserve">Phase 1 scale factor (Phase 1 GLA ÷ Savills GLA) applied to every Savills income line</t>
  </si>
  <si>
    <t xml:space="preserve">Tenant mix kept in Savills' proportions; rent rates per Savills</t>
  </si>
  <si>
    <t xml:space="preserve">Savills income line (SAR M, 53,987 sqm basis)</t>
  </si>
  <si>
    <t xml:space="preserve">Savills pro-forma p.7 (income summary including mezzanine)</t>
  </si>
  <si>
    <t xml:space="preserve">Rental income — units (base rent + revenue share)</t>
  </si>
  <si>
    <t xml:space="preserve">Rental income — specialty leasing (25 locations)</t>
  </si>
  <si>
    <t xml:space="preserve">Service charge income (15% of base rent)</t>
  </si>
  <si>
    <t xml:space="preserve">Marketing income (5% of annual rent)</t>
  </si>
  <si>
    <t xml:space="preserve">Sponsorship</t>
  </si>
  <si>
    <t xml:space="preserve">Media sales income</t>
  </si>
  <si>
    <t xml:space="preserve">Savills total revenue (53,987 sqm)</t>
  </si>
  <si>
    <t xml:space="preserve">Retail revenue at Phase 1 GLA (Savills lines × scale factor)</t>
  </si>
  <si>
    <t xml:space="preserve">Year 1 = 2029 (50% occupancy), Year 2 = 2030 (70%), Year 3 = 2031 stabilised (92%); the 2028 soft opening takes the Q4 factor</t>
  </si>
  <si>
    <t xml:space="preserve">Expansion from 38,597 sqm to Savills' recommended 48,467 sqm (53,987 sqm with mezzanine) is a later retail phase, taken as demand grows; it is not in the base case.</t>
  </si>
  <si>
    <t xml:space="preserve">Rent step-up every 3 years from 2031</t>
  </si>
  <si>
    <t xml:space="preserve">Common-area costs (2029 prices, inflated)</t>
  </si>
  <si>
    <t xml:space="preserve">Marketing expense (% retail revenue, offsets marketing income)</t>
  </si>
  <si>
    <t xml:space="preserve">Savills: 2.61 on 83.46 in year 3</t>
  </si>
  <si>
    <t xml:space="preserve">SPV overheads, land rent, zakat</t>
  </si>
  <si>
    <t xml:space="preserve">Asset management &amp; general administration — SPV overhead covering the asset-management role (2028 prices)</t>
  </si>
  <si>
    <t xml:space="preserve">Shareholders' data; replaces the separate Koushan AM fee</t>
  </si>
  <si>
    <t xml:space="preserve">Operating insurance (2028 prices)</t>
  </si>
  <si>
    <t xml:space="preserve">Overheads in 2028 (% of full year)</t>
  </si>
  <si>
    <t xml:space="preserve">Assumption (Watanco model)</t>
  </si>
  <si>
    <t xml:space="preserve">Cost inflation</t>
  </si>
  <si>
    <t xml:space="preserve">Al-Maqr fixed land rent</t>
  </si>
  <si>
    <t xml:space="preserve">Contract 23/007 and addendum 15 Apr 2024</t>
  </si>
  <si>
    <t xml:space="preserve">Rent-free period ends (decimal year)</t>
  </si>
  <si>
    <t xml:space="preserve">Verbal extension to 15 Apr 2028 — written confirmation outstanding</t>
  </si>
  <si>
    <t xml:space="preserve">Al-Maqr variable rent (% of all SPV revenue)</t>
  </si>
  <si>
    <t xml:space="preserve">Contract 23/007 Art. 6; applies to all SPV revenue (shareholders' confirmation)</t>
  </si>
  <si>
    <t xml:space="preserve">Zakat rate (applied to net profit after depreciation — simplification)</t>
  </si>
  <si>
    <t xml:space="preserve">ZATCA; zakat base simplified</t>
  </si>
  <si>
    <t xml:space="preserve">Depreciation life — buildings</t>
  </si>
  <si>
    <t xml:space="preserve">Accounting policy (to leasehold expiry)</t>
  </si>
  <si>
    <t xml:space="preserve">Depreciation life — FF&amp;E &amp; content</t>
  </si>
  <si>
    <t xml:space="preserve">Accounting policy</t>
  </si>
  <si>
    <t xml:space="preserve">FF&amp;E &amp; content share of GMP</t>
  </si>
  <si>
    <t xml:space="preserve">Hotel FF&amp;E 50 + Centre content 60 = 110 of 550</t>
  </si>
  <si>
    <t xml:space="preserve">Valuation &amp; returns</t>
  </si>
  <si>
    <t xml:space="preserve">Discount rate (project NPV)</t>
  </si>
  <si>
    <t xml:space="preserve">Exit year</t>
  </si>
  <si>
    <t xml:space="preserve">Shareholders' decision, 22 Oct 2026</t>
  </si>
  <si>
    <t xml:space="preserve">Exit cap rate (sensitivity 9–11%)</t>
  </si>
  <si>
    <t xml:space="preserve">Valuation cap rate at completion (lender's view)</t>
  </si>
  <si>
    <t xml:space="preserve">Watanco valuation study range 10–12%</t>
  </si>
  <si>
    <t xml:space="preserve">Koushan in-kind contribution — land</t>
  </si>
  <si>
    <t xml:space="preserve">Land area in Dar Al Qias valuation</t>
  </si>
  <si>
    <t xml:space="preserve">Dar Al Qias, 21 Mar 2024</t>
  </si>
  <si>
    <t xml:space="preserve">Land area handed over</t>
  </si>
  <si>
    <t xml:space="preserve">Al-Maqr handover Apr 2024 / Watanco teaser</t>
  </si>
  <si>
    <t xml:space="preserve">Market rent per Dar Al Qias (205,365 sqm)</t>
  </si>
  <si>
    <t xml:space="preserve">SAR M/yr</t>
  </si>
  <si>
    <t xml:space="preserve">Dar Al Qias p.1: conclusive market rental value</t>
  </si>
  <si>
    <t xml:space="preserve">NPV of lease-rent savings per Dar Al Qias</t>
  </si>
  <si>
    <t xml:space="preserve">Dar Al Qias summary</t>
  </si>
  <si>
    <t xml:space="preserve">Market rent pro-rated to 245,337 sqm</t>
  </si>
  <si>
    <t xml:space="preserve">NPV of rent savings pro-rated to 245,337 sqm (Koushan in-kind value, interim)</t>
  </si>
  <si>
    <t xml:space="preserve">Interim until certified valuation (Companies Law requirement for in-kind shares)</t>
  </si>
  <si>
    <t xml:space="preserve">Illustrative senior facility to Watanco from its financing banks (terms OUTSTANDING — placeholders for KPI sizing only)</t>
  </si>
  <si>
    <t xml:space="preserve">Facility as % of peak funding need</t>
  </si>
  <si>
    <t xml:space="preserve">Placeholder — to be agreed with Watanco's financing banks</t>
  </si>
  <si>
    <t xml:space="preserve">All-in profit/interest rate</t>
  </si>
  <si>
    <t xml:space="preserve">Placeholder</t>
  </si>
  <si>
    <t xml:space="preserve">Grace period (years from 2026): profit capitalised, no principal</t>
  </si>
  <si>
    <t xml:space="preserve">Placeholder — covers construction + opening year (repayment from 2030)</t>
  </si>
  <si>
    <t xml:space="preserve">Final maturity (years from 2026) — legal tenor</t>
  </si>
  <si>
    <t xml:space="preserve">Target DSCR for sculpted repayment (1.00 = 100% cash sweep)</t>
  </si>
  <si>
    <t xml:space="preserve">Placeholder — principal = CFADS ÷ target DSCR − profit</t>
  </si>
  <si>
    <t xml:space="preserve">Component allocation (for component schedules and standalone models)</t>
  </si>
  <si>
    <t xml:space="preserve">Hotel built-up area</t>
  </si>
  <si>
    <t xml:space="preserve">Watanco teaser: 600 keys on 40,000 sqm</t>
  </si>
  <si>
    <t xml:space="preserve">Experience Centre built-up area</t>
  </si>
  <si>
    <t xml:space="preserve">Watanco teaser / LDP</t>
  </si>
  <si>
    <t xml:space="preserve">Retail &amp; F&amp;B built-up area (incl. outdoor &amp; terraces)</t>
  </si>
  <si>
    <t xml:space="preserve">Savills assumed leasable area 48,467 sqm used as BUA proxy; 38,597 sqm net GLA</t>
  </si>
  <si>
    <t xml:space="preserve">Exhibit exit cap rate (Project Returns sheet)</t>
  </si>
  <si>
    <t xml:space="preserve">Conservative lender case; partners' assumption is 7%</t>
  </si>
  <si>
    <t xml:space="preserve">Experience Centre entertainment value per visit (2028 prices)</t>
  </si>
  <si>
    <t xml:space="preserve">LDP Report 6.0; Watanco teaser: ~1.0M visitors × SAR 78</t>
  </si>
  <si>
    <t xml:space="preserve">Retail net GLA — Phase 1 (linked to the retail inputs above)</t>
  </si>
  <si>
    <t xml:space="preserve">Watanco Oct-2026 package; Savills recommended GLA is a later phase</t>
  </si>
  <si>
    <t xml:space="preserve">Hotel included in the programme (1 = yes · 0 = Phase 1 only: retail + Centre)</t>
  </si>
  <si>
    <t xml:space="preserve">Hotel is Phase 2: construction from 2027 after construction permit and Al-Maqr approval (6–8 months)</t>
  </si>
  <si>
    <t xml:space="preserve">Hotel construction phasing — 2027</t>
  </si>
  <si>
    <t xml:space="preserve">24-month build from mid-2027 (permit + Al-Maqr approval 6–8 months)</t>
  </si>
  <si>
    <t xml:space="preserve">Hotel construction phasing — 2028</t>
  </si>
  <si>
    <t xml:space="preserve">Hotel construction phasing — 2029</t>
  </si>
  <si>
    <t xml:space="preserve">Completion mid-2029; hotel opens mid-2029</t>
  </si>
  <si>
    <t xml:space="preserve">Allocation rule: direct items (hotel FF&amp;E, Centre content, pre-opening) to their component; all other GMP items by built-up-area share; fixed land rent and SPV overheads between the flagged components (Centre and retail) in proportion to stabilised 2032 revenue.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</si>
</sst>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;\(#,##0\);\-"/>
    <numFmt numFmtId="166" formatCode="0.0%;\(0.0%\);\-"/>
    <numFmt numFmtId="167" formatCode="#,##0.0;\(#,##0.0\);\-"/>
    <numFmt numFmtId="168" formatCode="0.000"/>
    <numFmt numFmtId="169" formatCode="0"/>
    <numFmt numFmtId="170" formatCode="0.00\x"/>
    <numFmt numFmtId="171" formatCode="#,##0;\(#,##0\);\-"/>
    <numFmt numFmtId="172" formatCode="0.0%;\(0.0%\);\-"/>
    <numFmt numFmtId="173" formatCode="#,##0.0;\(#,##0.0\);\-"/>
    <numFmt numFmtId="174" formatCode="0.00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A3839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A8001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A80014"/>
      <name val="Arial"/>
      <family val="0"/>
      <charset val="1"/>
    </font>
    <font>
      <sz val="8"/>
      <color rgb="FF8C8C8C"/>
      <name val="Arial"/>
      <family val="0"/>
      <charset val="1"/>
    </font>
    <font>
      <b val="true"/>
      <i val="true"/>
      <sz val="11"/>
      <color rgb="FFA80014"/>
      <name val="Arial"/>
      <family val="0"/>
      <charset val="1"/>
    </font>
    <font>
      <i val="true"/>
      <sz val="10"/>
      <color rgb="FFA80014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0"/>
      <color rgb="FFA8001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5430"/>
      <name val="Arial"/>
      <family val="0"/>
      <charset val="1"/>
    </font>
    <font>
      <sz val="10"/>
      <color rgb="FFA80014"/>
      <name val="Arial"/>
      <family val="0"/>
      <charset val="1"/>
    </font>
    <font>
      <sz val="9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8B1A2B"/>
        <bgColor rgb="FF800000"/>
      </patternFill>
    </fill>
    <fill>
      <patternFill patternType="solid">
        <fgColor rgb="FFC6E0B4"/>
        <bgColor rgb="FFCCFFCC"/>
      </patternFill>
    </fill>
    <fill>
      <patternFill patternType="solid">
        <fgColor rgb="FF333333"/>
        <bgColor rgb="FF3A3839"/>
      </patternFill>
    </fill>
    <fill>
      <patternFill patternType="solid">
        <fgColor rgb="FFA80014"/>
        <bgColor rgb="FF80000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6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80014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5430"/>
      <rgbColor rgb="FF3A3839"/>
      <rgbColor rgb="FF8B1A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4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9.75" hidden="false" customHeight="true" outlineLevel="0" collapsed="false">
      <c r="B5" s="3" t="s">
        <v>2</v>
      </c>
      <c r="C5" s="4" t="s">
        <v>3</v>
      </c>
    </row>
    <row r="6" customFormat="false" ht="39.75" hidden="false" customHeight="true" outlineLevel="0" collapsed="false">
      <c r="B6" s="3" t="s">
        <v>4</v>
      </c>
      <c r="C6" s="4" t="s">
        <v>5</v>
      </c>
    </row>
    <row r="7" customFormat="false" ht="39.75" hidden="false" customHeight="true" outlineLevel="0" collapsed="false">
      <c r="B7" s="3" t="s">
        <v>6</v>
      </c>
      <c r="C7" s="4" t="s">
        <v>7</v>
      </c>
    </row>
    <row r="8" customFormat="false" ht="39.75" hidden="false" customHeight="true" outlineLevel="0" collapsed="false">
      <c r="B8" s="3" t="s">
        <v>8</v>
      </c>
      <c r="C8" s="4" t="s">
        <v>9</v>
      </c>
    </row>
    <row r="9" customFormat="false" ht="39.75" hidden="false" customHeight="true" outlineLevel="0" collapsed="false">
      <c r="B9" s="3" t="s">
        <v>10</v>
      </c>
      <c r="C9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17" min="3" style="0" width="10.51"/>
  </cols>
  <sheetData>
    <row r="1" customFormat="false" ht="15" hidden="false" customHeight="false" outlineLevel="0" collapsed="false">
      <c r="A1" s="5" t="s">
        <v>12</v>
      </c>
    </row>
    <row r="2" customFormat="false" ht="15" hidden="false" customHeight="false" outlineLevel="0" collapsed="false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</row>
    <row r="3" customFormat="false" ht="15" hidden="false" customHeight="false" outlineLevel="0" collapsed="false">
      <c r="A3" s="8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 t="s">
        <v>40</v>
      </c>
      <c r="M3" s="9" t="s">
        <v>41</v>
      </c>
      <c r="N3" s="9" t="s">
        <v>42</v>
      </c>
      <c r="O3" s="9" t="s">
        <v>43</v>
      </c>
      <c r="P3" s="9" t="s">
        <v>44</v>
      </c>
      <c r="Q3" s="9" t="s">
        <v>45</v>
      </c>
    </row>
    <row r="4" customFormat="false" ht="15" hidden="false" customHeight="false" outlineLevel="0" collapsed="false">
      <c r="A4" s="10" t="s">
        <v>46</v>
      </c>
    </row>
    <row r="5" customFormat="false" ht="15" hidden="false" customHeight="false" outlineLevel="0" collapsed="false">
      <c r="A5" s="11" t="s">
        <v>47</v>
      </c>
      <c r="C5" s="12" t="n">
        <f aca="false">IF('Comp - Hotel'!D31&gt;0,Inputs!$B$57,0)</f>
        <v>0</v>
      </c>
      <c r="D5" s="12" t="n">
        <f aca="false">IF('Comp - Hotel'!E31&gt;0,Inputs!$B$57,0)</f>
        <v>0</v>
      </c>
      <c r="E5" s="12" t="n">
        <f aca="false">IF('Comp - Hotel'!F31&gt;0,Inputs!$B$57,0)</f>
        <v>0</v>
      </c>
      <c r="F5" s="12" t="n">
        <f aca="false">IF('Comp - Hotel'!G31&gt;0,Inputs!$B$57,0)</f>
        <v>600</v>
      </c>
      <c r="G5" s="12" t="n">
        <f aca="false">IF('Comp - Hotel'!H31&gt;0,Inputs!$B$57,0)</f>
        <v>600</v>
      </c>
      <c r="H5" s="12" t="n">
        <f aca="false">IF('Comp - Hotel'!I31&gt;0,Inputs!$B$57,0)</f>
        <v>600</v>
      </c>
      <c r="I5" s="12" t="n">
        <f aca="false">IF('Comp - Hotel'!J31&gt;0,Inputs!$B$57,0)</f>
        <v>600</v>
      </c>
      <c r="J5" s="12" t="n">
        <f aca="false">IF('Comp - Hotel'!K31&gt;0,Inputs!$B$57,0)</f>
        <v>600</v>
      </c>
      <c r="K5" s="12" t="n">
        <f aca="false">IF('Comp - Hotel'!L31&gt;0,Inputs!$B$57,0)</f>
        <v>600</v>
      </c>
      <c r="L5" s="12" t="n">
        <f aca="false">IF('Comp - Hotel'!M31&gt;0,Inputs!$B$57,0)</f>
        <v>600</v>
      </c>
      <c r="M5" s="12" t="n">
        <f aca="false">IF('Comp - Hotel'!N31&gt;0,Inputs!$B$57,0)</f>
        <v>600</v>
      </c>
      <c r="N5" s="12" t="n">
        <f aca="false">IF('Comp - Hotel'!O31&gt;0,Inputs!$B$57,0)</f>
        <v>600</v>
      </c>
      <c r="O5" s="12" t="n">
        <f aca="false">IF('Comp - Hotel'!P31&gt;0,Inputs!$B$57,0)</f>
        <v>600</v>
      </c>
      <c r="P5" s="12" t="n">
        <f aca="false">IF('Comp - Hotel'!Q31&gt;0,Inputs!$B$57,0)</f>
        <v>600</v>
      </c>
      <c r="Q5" s="12" t="n">
        <f aca="false">IF('Comp - Hotel'!R31&gt;0,Inputs!$B$57,0)</f>
        <v>600</v>
      </c>
    </row>
    <row r="6" customFormat="false" ht="15" hidden="false" customHeight="false" outlineLevel="0" collapsed="false">
      <c r="A6" s="11" t="s">
        <v>48</v>
      </c>
      <c r="C6" s="12" t="n">
        <f aca="false">'Comp - Hotel'!D26</f>
        <v>0</v>
      </c>
      <c r="D6" s="12" t="n">
        <f aca="false">'Comp - Hotel'!E26</f>
        <v>0</v>
      </c>
      <c r="E6" s="12" t="n">
        <f aca="false">'Comp - Hotel'!F26</f>
        <v>0</v>
      </c>
      <c r="F6" s="12" t="n">
        <f aca="false">'Comp - Hotel'!G26</f>
        <v>633.783783783784</v>
      </c>
      <c r="G6" s="12" t="n">
        <f aca="false">'Comp - Hotel'!H26</f>
        <v>647.790405405405</v>
      </c>
      <c r="H6" s="12" t="n">
        <f aca="false">'Comp - Hotel'!I26</f>
        <v>662.106573364865</v>
      </c>
      <c r="I6" s="12" t="n">
        <f aca="false">'Comp - Hotel'!J26</f>
        <v>676.739128636228</v>
      </c>
      <c r="J6" s="12" t="n">
        <f aca="false">'Comp - Hotel'!K26</f>
        <v>691.695063379089</v>
      </c>
      <c r="K6" s="12" t="n">
        <f aca="false">'Comp - Hotel'!L26</f>
        <v>706.981524279767</v>
      </c>
      <c r="L6" s="12" t="n">
        <f aca="false">'Comp - Hotel'!M26</f>
        <v>722.60581596635</v>
      </c>
      <c r="M6" s="12" t="n">
        <f aca="false">'Comp - Hotel'!N26</f>
        <v>738.575404499206</v>
      </c>
      <c r="N6" s="12" t="n">
        <f aca="false">'Comp - Hotel'!O26</f>
        <v>754.897920938638</v>
      </c>
      <c r="O6" s="12" t="n">
        <f aca="false">'Comp - Hotel'!P26</f>
        <v>771.581164991383</v>
      </c>
      <c r="P6" s="12" t="n">
        <f aca="false">'Comp - Hotel'!Q26</f>
        <v>788.633108737692</v>
      </c>
      <c r="Q6" s="12" t="n">
        <f aca="false">'Comp - Hotel'!R26</f>
        <v>806.061900440795</v>
      </c>
    </row>
    <row r="7" customFormat="false" ht="15" hidden="false" customHeight="false" outlineLevel="0" collapsed="false">
      <c r="A7" s="11" t="s">
        <v>49</v>
      </c>
      <c r="C7" s="13" t="n">
        <f aca="false">'Comp - Hotel'!D27</f>
        <v>0</v>
      </c>
      <c r="D7" s="13" t="n">
        <f aca="false">'Comp - Hotel'!E27</f>
        <v>0</v>
      </c>
      <c r="E7" s="13" t="n">
        <f aca="false">'Comp - Hotel'!F27</f>
        <v>0</v>
      </c>
      <c r="F7" s="13" t="n">
        <f aca="false">'Comp - Hotel'!G27</f>
        <v>0.558083333333333</v>
      </c>
      <c r="G7" s="13" t="n">
        <f aca="false">'Comp - Hotel'!H27</f>
        <v>0.587066666666667</v>
      </c>
      <c r="H7" s="13" t="n">
        <f aca="false">'Comp - Hotel'!I27</f>
        <v>0.616666666666667</v>
      </c>
      <c r="I7" s="13" t="n">
        <f aca="false">'Comp - Hotel'!J27</f>
        <v>0.616666666666667</v>
      </c>
      <c r="J7" s="13" t="n">
        <f aca="false">'Comp - Hotel'!K27</f>
        <v>0.616666666666667</v>
      </c>
      <c r="K7" s="13" t="n">
        <f aca="false">'Comp - Hotel'!L27</f>
        <v>0.616666666666667</v>
      </c>
      <c r="L7" s="13" t="n">
        <f aca="false">'Comp - Hotel'!M27</f>
        <v>0.616666666666667</v>
      </c>
      <c r="M7" s="13" t="n">
        <f aca="false">'Comp - Hotel'!N27</f>
        <v>0.616666666666667</v>
      </c>
      <c r="N7" s="13" t="n">
        <f aca="false">'Comp - Hotel'!O27</f>
        <v>0.616666666666667</v>
      </c>
      <c r="O7" s="13" t="n">
        <f aca="false">'Comp - Hotel'!P27</f>
        <v>0.616666666666667</v>
      </c>
      <c r="P7" s="13" t="n">
        <f aca="false">'Comp - Hotel'!Q27</f>
        <v>0.616666666666667</v>
      </c>
      <c r="Q7" s="13" t="n">
        <f aca="false">'Comp - Hotel'!R27</f>
        <v>0.616666666666667</v>
      </c>
    </row>
    <row r="8" customFormat="false" ht="15" hidden="false" customHeight="false" outlineLevel="0" collapsed="false">
      <c r="A8" s="11" t="s">
        <v>50</v>
      </c>
      <c r="C8" s="12" t="n">
        <f aca="false">'Comp - Hotel'!D28</f>
        <v>0</v>
      </c>
      <c r="D8" s="12" t="n">
        <f aca="false">'Comp - Hotel'!E28</f>
        <v>0</v>
      </c>
      <c r="E8" s="12" t="n">
        <f aca="false">'Comp - Hotel'!F28</f>
        <v>0</v>
      </c>
      <c r="F8" s="12" t="n">
        <f aca="false">'Comp - Hotel'!G28</f>
        <v>353.704166666667</v>
      </c>
      <c r="G8" s="12" t="n">
        <f aca="false">'Comp - Hotel'!H28</f>
        <v>380.296154</v>
      </c>
      <c r="H8" s="12" t="n">
        <f aca="false">'Comp - Hotel'!I28</f>
        <v>408.299053575</v>
      </c>
      <c r="I8" s="12" t="n">
        <f aca="false">'Comp - Hotel'!J28</f>
        <v>417.322462659008</v>
      </c>
      <c r="J8" s="12" t="n">
        <f aca="false">'Comp - Hotel'!K28</f>
        <v>426.545289083772</v>
      </c>
      <c r="K8" s="12" t="n">
        <f aca="false">'Comp - Hotel'!L28</f>
        <v>435.971939972523</v>
      </c>
      <c r="L8" s="12" t="n">
        <f aca="false">'Comp - Hotel'!M28</f>
        <v>445.606919845916</v>
      </c>
      <c r="M8" s="12" t="n">
        <f aca="false">'Comp - Hotel'!N28</f>
        <v>455.45483277451</v>
      </c>
      <c r="N8" s="12" t="n">
        <f aca="false">'Comp - Hotel'!O28</f>
        <v>465.520384578827</v>
      </c>
      <c r="O8" s="12" t="n">
        <f aca="false">'Comp - Hotel'!P28</f>
        <v>475.808385078019</v>
      </c>
      <c r="P8" s="12" t="n">
        <f aca="false">'Comp - Hotel'!Q28</f>
        <v>486.323750388243</v>
      </c>
      <c r="Q8" s="12" t="n">
        <f aca="false">'Comp - Hotel'!R28</f>
        <v>497.071505271824</v>
      </c>
    </row>
    <row r="9" customFormat="false" ht="15" hidden="false" customHeight="false" outlineLevel="0" collapsed="false">
      <c r="A9" s="11" t="s">
        <v>51</v>
      </c>
      <c r="C9" s="13" t="n">
        <f aca="false">IF('Comp - Hotel'!D31&gt;0,1/Inputs!$B$63-1,0)</f>
        <v>0</v>
      </c>
      <c r="D9" s="13" t="n">
        <f aca="false">IF('Comp - Hotel'!E31&gt;0,1/Inputs!$B$63-1,0)</f>
        <v>0</v>
      </c>
      <c r="E9" s="13" t="n">
        <f aca="false">IF('Comp - Hotel'!F31&gt;0,1/Inputs!$B$63-1,0)</f>
        <v>0</v>
      </c>
      <c r="F9" s="13" t="n">
        <f aca="false">IF('Comp - Hotel'!G31&gt;0,1/Inputs!$B$63-1,0)</f>
        <v>0.199040767386091</v>
      </c>
      <c r="G9" s="13" t="n">
        <f aca="false">IF('Comp - Hotel'!H31&gt;0,1/Inputs!$B$63-1,0)</f>
        <v>0.199040767386091</v>
      </c>
      <c r="H9" s="13" t="n">
        <f aca="false">IF('Comp - Hotel'!I31&gt;0,1/Inputs!$B$63-1,0)</f>
        <v>0.199040767386091</v>
      </c>
      <c r="I9" s="13" t="n">
        <f aca="false">IF('Comp - Hotel'!J31&gt;0,1/Inputs!$B$63-1,0)</f>
        <v>0.199040767386091</v>
      </c>
      <c r="J9" s="13" t="n">
        <f aca="false">IF('Comp - Hotel'!K31&gt;0,1/Inputs!$B$63-1,0)</f>
        <v>0.199040767386091</v>
      </c>
      <c r="K9" s="13" t="n">
        <f aca="false">IF('Comp - Hotel'!L31&gt;0,1/Inputs!$B$63-1,0)</f>
        <v>0.199040767386091</v>
      </c>
      <c r="L9" s="13" t="n">
        <f aca="false">IF('Comp - Hotel'!M31&gt;0,1/Inputs!$B$63-1,0)</f>
        <v>0.199040767386091</v>
      </c>
      <c r="M9" s="13" t="n">
        <f aca="false">IF('Comp - Hotel'!N31&gt;0,1/Inputs!$B$63-1,0)</f>
        <v>0.199040767386091</v>
      </c>
      <c r="N9" s="13" t="n">
        <f aca="false">IF('Comp - Hotel'!O31&gt;0,1/Inputs!$B$63-1,0)</f>
        <v>0.199040767386091</v>
      </c>
      <c r="O9" s="13" t="n">
        <f aca="false">IF('Comp - Hotel'!P31&gt;0,1/Inputs!$B$63-1,0)</f>
        <v>0.199040767386091</v>
      </c>
      <c r="P9" s="13" t="n">
        <f aca="false">IF('Comp - Hotel'!Q31&gt;0,1/Inputs!$B$63-1,0)</f>
        <v>0.199040767386091</v>
      </c>
      <c r="Q9" s="13" t="n">
        <f aca="false">IF('Comp - Hotel'!R31&gt;0,1/Inputs!$B$63-1,0)</f>
        <v>0.199040767386091</v>
      </c>
    </row>
    <row r="10" customFormat="false" ht="15" hidden="false" customHeight="false" outlineLevel="0" collapsed="false">
      <c r="A10" s="11" t="s">
        <v>52</v>
      </c>
      <c r="C10" s="13" t="n">
        <f aca="false">'Comp - Hotel'!D33</f>
        <v>0</v>
      </c>
      <c r="D10" s="13" t="n">
        <f aca="false">'Comp - Hotel'!E33</f>
        <v>0</v>
      </c>
      <c r="E10" s="13" t="n">
        <f aca="false">'Comp - Hotel'!F33</f>
        <v>0</v>
      </c>
      <c r="F10" s="13" t="n">
        <f aca="false">'Comp - Hotel'!G33</f>
        <v>0.442</v>
      </c>
      <c r="G10" s="13" t="n">
        <f aca="false">'Comp - Hotel'!H33</f>
        <v>0.461</v>
      </c>
      <c r="H10" s="13" t="n">
        <f aca="false">'Comp - Hotel'!I33</f>
        <v>0.474</v>
      </c>
      <c r="I10" s="13" t="n">
        <f aca="false">'Comp - Hotel'!J33</f>
        <v>0.474</v>
      </c>
      <c r="J10" s="13" t="n">
        <f aca="false">'Comp - Hotel'!K33</f>
        <v>0.474</v>
      </c>
      <c r="K10" s="13" t="n">
        <f aca="false">'Comp - Hotel'!L33</f>
        <v>0.474</v>
      </c>
      <c r="L10" s="13" t="n">
        <f aca="false">'Comp - Hotel'!M33</f>
        <v>0.474</v>
      </c>
      <c r="M10" s="13" t="n">
        <f aca="false">'Comp - Hotel'!N33</f>
        <v>0.474</v>
      </c>
      <c r="N10" s="13" t="n">
        <f aca="false">'Comp - Hotel'!O33</f>
        <v>0.474</v>
      </c>
      <c r="O10" s="13" t="n">
        <f aca="false">'Comp - Hotel'!P33</f>
        <v>0.474</v>
      </c>
      <c r="P10" s="13" t="n">
        <f aca="false">'Comp - Hotel'!Q33</f>
        <v>0.474</v>
      </c>
      <c r="Q10" s="13" t="n">
        <f aca="false">'Comp - Hotel'!R33</f>
        <v>0.474</v>
      </c>
    </row>
    <row r="11" customFormat="false" ht="15" hidden="false" customHeight="false" outlineLevel="0" collapsed="false">
      <c r="A11" s="11" t="s">
        <v>53</v>
      </c>
      <c r="C11" s="13" t="n">
        <f aca="false">IF('Comp - Hotel'!D31&gt;0,Inputs!$B$70,0)</f>
        <v>0</v>
      </c>
      <c r="D11" s="13" t="n">
        <f aca="false">IF('Comp - Hotel'!E31&gt;0,Inputs!$B$70,0)</f>
        <v>0</v>
      </c>
      <c r="E11" s="13" t="n">
        <f aca="false">IF('Comp - Hotel'!F31&gt;0,Inputs!$B$70,0)</f>
        <v>0</v>
      </c>
      <c r="F11" s="13" t="n">
        <f aca="false">IF('Comp - Hotel'!G31&gt;0,Inputs!$B$70,0)</f>
        <v>0.03</v>
      </c>
      <c r="G11" s="13" t="n">
        <f aca="false">IF('Comp - Hotel'!H31&gt;0,Inputs!$B$70,0)</f>
        <v>0.03</v>
      </c>
      <c r="H11" s="13" t="n">
        <f aca="false">IF('Comp - Hotel'!I31&gt;0,Inputs!$B$70,0)</f>
        <v>0.03</v>
      </c>
      <c r="I11" s="13" t="n">
        <f aca="false">IF('Comp - Hotel'!J31&gt;0,Inputs!$B$70,0)</f>
        <v>0.03</v>
      </c>
      <c r="J11" s="13" t="n">
        <f aca="false">IF('Comp - Hotel'!K31&gt;0,Inputs!$B$70,0)</f>
        <v>0.03</v>
      </c>
      <c r="K11" s="13" t="n">
        <f aca="false">IF('Comp - Hotel'!L31&gt;0,Inputs!$B$70,0)</f>
        <v>0.03</v>
      </c>
      <c r="L11" s="13" t="n">
        <f aca="false">IF('Comp - Hotel'!M31&gt;0,Inputs!$B$70,0)</f>
        <v>0.03</v>
      </c>
      <c r="M11" s="13" t="n">
        <f aca="false">IF('Comp - Hotel'!N31&gt;0,Inputs!$B$70,0)</f>
        <v>0.03</v>
      </c>
      <c r="N11" s="13" t="n">
        <f aca="false">IF('Comp - Hotel'!O31&gt;0,Inputs!$B$70,0)</f>
        <v>0.03</v>
      </c>
      <c r="O11" s="13" t="n">
        <f aca="false">IF('Comp - Hotel'!P31&gt;0,Inputs!$B$70,0)</f>
        <v>0.03</v>
      </c>
      <c r="P11" s="13" t="n">
        <f aca="false">IF('Comp - Hotel'!Q31&gt;0,Inputs!$B$70,0)</f>
        <v>0.03</v>
      </c>
      <c r="Q11" s="13" t="n">
        <f aca="false">IF('Comp - Hotel'!R31&gt;0,Inputs!$B$70,0)</f>
        <v>0.03</v>
      </c>
    </row>
    <row r="13" customFormat="false" ht="15" hidden="false" customHeight="false" outlineLevel="0" collapsed="false">
      <c r="A13" s="10" t="s">
        <v>54</v>
      </c>
    </row>
    <row r="14" customFormat="false" ht="15" hidden="false" customHeight="false" outlineLevel="0" collapsed="false">
      <c r="A14" s="14" t="s">
        <v>55</v>
      </c>
      <c r="B14" s="15" t="n">
        <f aca="false">SUM(C14:Q14)</f>
        <v>1331612.63137033</v>
      </c>
      <c r="C14" s="16" t="n">
        <f aca="false">'Comp - Hotel'!D31*1000</f>
        <v>0</v>
      </c>
      <c r="D14" s="16" t="n">
        <f aca="false">'Comp - Hotel'!E31*1000</f>
        <v>0</v>
      </c>
      <c r="E14" s="16" t="n">
        <f aca="false">'Comp - Hotel'!F31*1000</f>
        <v>0</v>
      </c>
      <c r="F14" s="16" t="n">
        <f aca="false">'Comp - Hotel'!G31*1000</f>
        <v>46439.5758393285</v>
      </c>
      <c r="G14" s="16" t="n">
        <f aca="false">'Comp - Hotel'!H31*1000</f>
        <v>99861.9397194245</v>
      </c>
      <c r="H14" s="16" t="n">
        <f aca="false">'Comp - Hotel'!I31*1000</f>
        <v>107215.219104227</v>
      </c>
      <c r="I14" s="16" t="n">
        <f aca="false">'Comp - Hotel'!J31*1000</f>
        <v>109584.67544643</v>
      </c>
      <c r="J14" s="16" t="n">
        <f aca="false">'Comp - Hotel'!K31*1000</f>
        <v>112006.496773796</v>
      </c>
      <c r="K14" s="16" t="n">
        <f aca="false">'Comp - Hotel'!L31*1000</f>
        <v>114481.840352497</v>
      </c>
      <c r="L14" s="16" t="n">
        <f aca="false">'Comp - Hotel'!M31*1000</f>
        <v>117011.889024287</v>
      </c>
      <c r="M14" s="16" t="n">
        <f aca="false">'Comp - Hotel'!N31*1000</f>
        <v>119597.851771724</v>
      </c>
      <c r="N14" s="16" t="n">
        <f aca="false">'Comp - Hotel'!O31*1000</f>
        <v>122240.964295879</v>
      </c>
      <c r="O14" s="16" t="n">
        <f aca="false">'Comp - Hotel'!P31*1000</f>
        <v>124942.489606818</v>
      </c>
      <c r="P14" s="16" t="n">
        <f aca="false">'Comp - Hotel'!Q31*1000</f>
        <v>127703.718627129</v>
      </c>
      <c r="Q14" s="16" t="n">
        <f aca="false">'Comp - Hotel'!R31*1000</f>
        <v>130525.970808788</v>
      </c>
    </row>
    <row r="15" customFormat="false" ht="15" hidden="false" customHeight="false" outlineLevel="0" collapsed="false">
      <c r="A15" s="14" t="s">
        <v>56</v>
      </c>
      <c r="B15" s="15" t="n">
        <f aca="false">SUM(C15:Q15)</f>
        <v>484915.222180296</v>
      </c>
      <c r="C15" s="16" t="n">
        <f aca="false">'Comp - Hotel'!D36*1000</f>
        <v>0</v>
      </c>
      <c r="D15" s="16" t="n">
        <f aca="false">'Comp - Hotel'!E36*1000</f>
        <v>0</v>
      </c>
      <c r="E15" s="16" t="n">
        <f aca="false">'Comp - Hotel'!F36*1000</f>
        <v>0</v>
      </c>
      <c r="F15" s="16" t="n">
        <f aca="false">'Comp - Hotel'!G36*1000</f>
        <v>15633.4188105516</v>
      </c>
      <c r="G15" s="16" t="n">
        <f aca="false">'Comp - Hotel'!H36*1000</f>
        <v>35363.1100934426</v>
      </c>
      <c r="H15" s="16" t="n">
        <f aca="false">'Comp - Hotel'!I36*1000</f>
        <v>39249.3474096753</v>
      </c>
      <c r="I15" s="16" t="n">
        <f aca="false">'Comp - Hotel'!J36*1000</f>
        <v>40116.7579874291</v>
      </c>
      <c r="J15" s="16" t="n">
        <f aca="false">'Comp - Hotel'!K36*1000</f>
        <v>41003.3383389513</v>
      </c>
      <c r="K15" s="16" t="n">
        <f aca="false">'Comp - Hotel'!L36*1000</f>
        <v>41909.5121162421</v>
      </c>
      <c r="L15" s="16" t="n">
        <f aca="false">'Comp - Hotel'!M36*1000</f>
        <v>42835.7123340111</v>
      </c>
      <c r="M15" s="16" t="n">
        <f aca="false">'Comp - Hotel'!N36*1000</f>
        <v>43782.3815765927</v>
      </c>
      <c r="N15" s="16" t="n">
        <f aca="false">'Comp - Hotel'!O36*1000</f>
        <v>44749.9722094354</v>
      </c>
      <c r="O15" s="16" t="n">
        <f aca="false">'Comp - Hotel'!P36*1000</f>
        <v>45738.9465952639</v>
      </c>
      <c r="P15" s="16" t="n">
        <f aca="false">'Comp - Hotel'!Q36*1000</f>
        <v>46749.7773150193</v>
      </c>
      <c r="Q15" s="16" t="n">
        <f aca="false">'Comp - Hotel'!R36*1000</f>
        <v>47782.9473936812</v>
      </c>
    </row>
    <row r="16" customFormat="false" ht="15" hidden="false" customHeight="false" outlineLevel="0" collapsed="false">
      <c r="A16" s="11" t="s">
        <v>57</v>
      </c>
      <c r="B16" s="15" t="n">
        <f aca="false">SUM(C16:Q16)</f>
        <v>0</v>
      </c>
      <c r="C16" s="12" t="n">
        <f aca="false">'Comp - Hotel'!D39*1000</f>
        <v>-0</v>
      </c>
      <c r="D16" s="12" t="n">
        <f aca="false">'Comp - Hotel'!E39*1000</f>
        <v>-0</v>
      </c>
      <c r="E16" s="12" t="n">
        <f aca="false">'Comp - Hotel'!F39*1000</f>
        <v>-0</v>
      </c>
      <c r="F16" s="12" t="n">
        <f aca="false">'Comp - Hotel'!G39*1000</f>
        <v>-0</v>
      </c>
      <c r="G16" s="12" t="n">
        <f aca="false">'Comp - Hotel'!H39*1000</f>
        <v>-0</v>
      </c>
      <c r="H16" s="12" t="n">
        <f aca="false">'Comp - Hotel'!I39*1000</f>
        <v>-0</v>
      </c>
      <c r="I16" s="12" t="n">
        <f aca="false">'Comp - Hotel'!J39*1000</f>
        <v>-0</v>
      </c>
      <c r="J16" s="12" t="n">
        <f aca="false">'Comp - Hotel'!K39*1000</f>
        <v>-0</v>
      </c>
      <c r="K16" s="12" t="n">
        <f aca="false">'Comp - Hotel'!L39*1000</f>
        <v>-0</v>
      </c>
      <c r="L16" s="12" t="n">
        <f aca="false">'Comp - Hotel'!M39*1000</f>
        <v>-0</v>
      </c>
      <c r="M16" s="12" t="n">
        <f aca="false">'Comp - Hotel'!N39*1000</f>
        <v>-0</v>
      </c>
      <c r="N16" s="12" t="n">
        <f aca="false">'Comp - Hotel'!O39*1000</f>
        <v>-0</v>
      </c>
      <c r="O16" s="12" t="n">
        <f aca="false">'Comp - Hotel'!P39*1000</f>
        <v>-0</v>
      </c>
      <c r="P16" s="12" t="n">
        <f aca="false">'Comp - Hotel'!Q39*1000</f>
        <v>-0</v>
      </c>
      <c r="Q16" s="12" t="n">
        <f aca="false">'Comp - Hotel'!R39*1000</f>
        <v>-0</v>
      </c>
    </row>
    <row r="17" customFormat="false" ht="15" hidden="false" customHeight="false" outlineLevel="0" collapsed="false">
      <c r="A17" s="11" t="s">
        <v>58</v>
      </c>
      <c r="B17" s="15" t="n">
        <f aca="false">SUM(C17:Q17)</f>
        <v>-26632.2526274066</v>
      </c>
      <c r="C17" s="12" t="n">
        <f aca="false">'Comp - Hotel'!D40*1000</f>
        <v>-0</v>
      </c>
      <c r="D17" s="12" t="n">
        <f aca="false">'Comp - Hotel'!E40*1000</f>
        <v>-0</v>
      </c>
      <c r="E17" s="12" t="n">
        <f aca="false">'Comp - Hotel'!F40*1000</f>
        <v>-0</v>
      </c>
      <c r="F17" s="12" t="n">
        <f aca="false">'Comp - Hotel'!G40*1000</f>
        <v>-928.791516786571</v>
      </c>
      <c r="G17" s="12" t="n">
        <f aca="false">'Comp - Hotel'!H40*1000</f>
        <v>-1997.23879438849</v>
      </c>
      <c r="H17" s="12" t="n">
        <f aca="false">'Comp - Hotel'!I40*1000</f>
        <v>-2144.30438208453</v>
      </c>
      <c r="I17" s="12" t="n">
        <f aca="false">'Comp - Hotel'!J40*1000</f>
        <v>-2191.6935089286</v>
      </c>
      <c r="J17" s="12" t="n">
        <f aca="false">'Comp - Hotel'!K40*1000</f>
        <v>-2240.12993547592</v>
      </c>
      <c r="K17" s="12" t="n">
        <f aca="false">'Comp - Hotel'!L40*1000</f>
        <v>-2289.63680704994</v>
      </c>
      <c r="L17" s="12" t="n">
        <f aca="false">'Comp - Hotel'!M40*1000</f>
        <v>-2340.23778048574</v>
      </c>
      <c r="M17" s="12" t="n">
        <f aca="false">'Comp - Hotel'!N40*1000</f>
        <v>-2391.95703543448</v>
      </c>
      <c r="N17" s="12" t="n">
        <f aca="false">'Comp - Hotel'!O40*1000</f>
        <v>-2444.81928591758</v>
      </c>
      <c r="O17" s="12" t="n">
        <f aca="false">'Comp - Hotel'!P40*1000</f>
        <v>-2498.84979213636</v>
      </c>
      <c r="P17" s="12" t="n">
        <f aca="false">'Comp - Hotel'!Q40*1000</f>
        <v>-2554.07437254257</v>
      </c>
      <c r="Q17" s="12" t="n">
        <f aca="false">'Comp - Hotel'!R40*1000</f>
        <v>-2610.51941617576</v>
      </c>
    </row>
    <row r="18" customFormat="false" ht="15" hidden="false" customHeight="false" outlineLevel="0" collapsed="false">
      <c r="A18" s="11" t="s">
        <v>59</v>
      </c>
      <c r="B18" s="15" t="n">
        <f aca="false">SUM(C18:Q18)</f>
        <v>0</v>
      </c>
      <c r="C18" s="12" t="n">
        <f aca="false">'Comp - Hotel'!D41*1000</f>
        <v>-0</v>
      </c>
      <c r="D18" s="12" t="n">
        <f aca="false">'Comp - Hotel'!E41*1000</f>
        <v>-0</v>
      </c>
      <c r="E18" s="12" t="n">
        <f aca="false">'Comp - Hotel'!F41*1000</f>
        <v>-0</v>
      </c>
      <c r="F18" s="12" t="n">
        <f aca="false">'Comp - Hotel'!G41*1000</f>
        <v>-0</v>
      </c>
      <c r="G18" s="12" t="n">
        <f aca="false">'Comp - Hotel'!H41*1000</f>
        <v>-0</v>
      </c>
      <c r="H18" s="12" t="n">
        <f aca="false">'Comp - Hotel'!I41*1000</f>
        <v>-0</v>
      </c>
      <c r="I18" s="12" t="n">
        <f aca="false">'Comp - Hotel'!J41*1000</f>
        <v>-0</v>
      </c>
      <c r="J18" s="12" t="n">
        <f aca="false">'Comp - Hotel'!K41*1000</f>
        <v>-0</v>
      </c>
      <c r="K18" s="12" t="n">
        <f aca="false">'Comp - Hotel'!L41*1000</f>
        <v>-0</v>
      </c>
      <c r="L18" s="12" t="n">
        <f aca="false">'Comp - Hotel'!M41*1000</f>
        <v>-0</v>
      </c>
      <c r="M18" s="12" t="n">
        <f aca="false">'Comp - Hotel'!N41*1000</f>
        <v>-0</v>
      </c>
      <c r="N18" s="12" t="n">
        <f aca="false">'Comp - Hotel'!O41*1000</f>
        <v>-0</v>
      </c>
      <c r="O18" s="12" t="n">
        <f aca="false">'Comp - Hotel'!P41*1000</f>
        <v>-0</v>
      </c>
      <c r="P18" s="12" t="n">
        <f aca="false">'Comp - Hotel'!Q41*1000</f>
        <v>-0</v>
      </c>
      <c r="Q18" s="12" t="n">
        <f aca="false">'Comp - Hotel'!R41*1000</f>
        <v>-0</v>
      </c>
    </row>
    <row r="19" customFormat="false" ht="15" hidden="false" customHeight="false" outlineLevel="0" collapsed="false">
      <c r="A19" s="11" t="s">
        <v>60</v>
      </c>
      <c r="B19" s="15" t="n">
        <f aca="false">SUM(C19:Q19)</f>
        <v>0</v>
      </c>
      <c r="C19" s="12" t="n">
        <f aca="false">'Comp - Hotel'!D42*1000</f>
        <v>-0</v>
      </c>
      <c r="D19" s="12" t="n">
        <f aca="false">'Comp - Hotel'!E42*1000</f>
        <v>-0</v>
      </c>
      <c r="E19" s="12" t="n">
        <f aca="false">'Comp - Hotel'!F42*1000</f>
        <v>-0</v>
      </c>
      <c r="F19" s="12" t="n">
        <f aca="false">'Comp - Hotel'!G42*1000</f>
        <v>-0</v>
      </c>
      <c r="G19" s="12" t="n">
        <f aca="false">'Comp - Hotel'!H42*1000</f>
        <v>-0</v>
      </c>
      <c r="H19" s="12" t="n">
        <f aca="false">'Comp - Hotel'!I42*1000</f>
        <v>-0</v>
      </c>
      <c r="I19" s="12" t="n">
        <f aca="false">'Comp - Hotel'!J42*1000</f>
        <v>-0</v>
      </c>
      <c r="J19" s="12" t="n">
        <f aca="false">'Comp - Hotel'!K42*1000</f>
        <v>-0</v>
      </c>
      <c r="K19" s="12" t="n">
        <f aca="false">'Comp - Hotel'!L42*1000</f>
        <v>-0</v>
      </c>
      <c r="L19" s="12" t="n">
        <f aca="false">'Comp - Hotel'!M42*1000</f>
        <v>-0</v>
      </c>
      <c r="M19" s="12" t="n">
        <f aca="false">'Comp - Hotel'!N42*1000</f>
        <v>-0</v>
      </c>
      <c r="N19" s="12" t="n">
        <f aca="false">'Comp - Hotel'!O42*1000</f>
        <v>-0</v>
      </c>
      <c r="O19" s="12" t="n">
        <f aca="false">'Comp - Hotel'!P42*1000</f>
        <v>-0</v>
      </c>
      <c r="P19" s="12" t="n">
        <f aca="false">'Comp - Hotel'!Q42*1000</f>
        <v>-0</v>
      </c>
      <c r="Q19" s="12" t="n">
        <f aca="false">'Comp - Hotel'!R42*1000</f>
        <v>-0</v>
      </c>
    </row>
    <row r="20" customFormat="false" ht="15" hidden="false" customHeight="false" outlineLevel="0" collapsed="false">
      <c r="A20" s="17" t="s">
        <v>61</v>
      </c>
      <c r="B20" s="18" t="n">
        <f aca="false">SUM(C20:Q20)</f>
        <v>458282.969552889</v>
      </c>
      <c r="C20" s="19" t="n">
        <f aca="false">SUM(C15:C19)</f>
        <v>0</v>
      </c>
      <c r="D20" s="19" t="n">
        <f aca="false">SUM(D15:D19)</f>
        <v>0</v>
      </c>
      <c r="E20" s="19" t="n">
        <f aca="false">SUM(E15:E19)</f>
        <v>0</v>
      </c>
      <c r="F20" s="19" t="n">
        <f aca="false">SUM(F15:F19)</f>
        <v>14704.627293765</v>
      </c>
      <c r="G20" s="19" t="n">
        <f aca="false">SUM(G15:G19)</f>
        <v>33365.8712990541</v>
      </c>
      <c r="H20" s="19" t="n">
        <f aca="false">SUM(H15:H19)</f>
        <v>37105.0430275908</v>
      </c>
      <c r="I20" s="19" t="n">
        <f aca="false">SUM(I15:I19)</f>
        <v>37925.0644785005</v>
      </c>
      <c r="J20" s="19" t="n">
        <f aca="false">SUM(J15:J19)</f>
        <v>38763.2084034754</v>
      </c>
      <c r="K20" s="19" t="n">
        <f aca="false">SUM(K15:K19)</f>
        <v>39619.8753091922</v>
      </c>
      <c r="L20" s="19" t="n">
        <f aca="false">SUM(L15:L19)</f>
        <v>40495.4745535253</v>
      </c>
      <c r="M20" s="19" t="n">
        <f aca="false">SUM(M15:M19)</f>
        <v>41390.4245411582</v>
      </c>
      <c r="N20" s="19" t="n">
        <f aca="false">SUM(N15:N19)</f>
        <v>42305.1529235178</v>
      </c>
      <c r="O20" s="19" t="n">
        <f aca="false">SUM(O15:O19)</f>
        <v>43240.0968031276</v>
      </c>
      <c r="P20" s="19" t="n">
        <f aca="false">SUM(P15:P19)</f>
        <v>44195.7029424767</v>
      </c>
      <c r="Q20" s="19" t="n">
        <f aca="false">SUM(Q15:Q19)</f>
        <v>45172.4279775054</v>
      </c>
    </row>
    <row r="22" customFormat="false" ht="15" hidden="false" customHeight="false" outlineLevel="0" collapsed="false">
      <c r="A22" s="10" t="s">
        <v>62</v>
      </c>
    </row>
    <row r="23" customFormat="false" ht="15" hidden="false" customHeight="false" outlineLevel="0" collapsed="false">
      <c r="A23" s="20" t="s">
        <v>63</v>
      </c>
      <c r="B23" s="15" t="n">
        <f aca="false">SUM(C23:Q23)</f>
        <v>48818.4984556456</v>
      </c>
      <c r="C23" s="21" t="n">
        <f aca="false">'Comp - Hotel'!D6*1000</f>
        <v>0</v>
      </c>
      <c r="D23" s="21" t="n">
        <f aca="false">'Comp - Hotel'!E6*1000</f>
        <v>9763.69969112912</v>
      </c>
      <c r="E23" s="21" t="n">
        <f aca="false">'Comp - Hotel'!F6*1000</f>
        <v>26850.1741506051</v>
      </c>
      <c r="F23" s="21" t="n">
        <f aca="false">'Comp - Hotel'!G6*1000</f>
        <v>12204.6246139114</v>
      </c>
      <c r="G23" s="21" t="n">
        <f aca="false">'Comp - Hotel'!H6*1000</f>
        <v>0</v>
      </c>
      <c r="H23" s="21" t="n">
        <f aca="false">'Comp - Hotel'!I6*1000</f>
        <v>0</v>
      </c>
      <c r="I23" s="21" t="n">
        <f aca="false">'Comp - Hotel'!J6*1000</f>
        <v>0</v>
      </c>
      <c r="J23" s="21" t="n">
        <f aca="false">'Comp - Hotel'!K6*1000</f>
        <v>0</v>
      </c>
      <c r="K23" s="21" t="n">
        <f aca="false">'Comp - Hotel'!L6*1000</f>
        <v>0</v>
      </c>
      <c r="L23" s="21" t="n">
        <f aca="false">'Comp - Hotel'!M6*1000</f>
        <v>0</v>
      </c>
      <c r="M23" s="21" t="n">
        <f aca="false">'Comp - Hotel'!N6*1000</f>
        <v>0</v>
      </c>
      <c r="N23" s="21" t="n">
        <f aca="false">'Comp - Hotel'!O6*1000</f>
        <v>0</v>
      </c>
      <c r="O23" s="21" t="n">
        <f aca="false">'Comp - Hotel'!P6*1000</f>
        <v>0</v>
      </c>
      <c r="P23" s="21" t="n">
        <f aca="false">'Comp - Hotel'!Q6*1000</f>
        <v>0</v>
      </c>
      <c r="Q23" s="21" t="n">
        <f aca="false">'Comp - Hotel'!R6*1000</f>
        <v>0</v>
      </c>
    </row>
    <row r="24" customFormat="false" ht="15" hidden="false" customHeight="false" outlineLevel="0" collapsed="false">
      <c r="A24" s="20" t="s">
        <v>64</v>
      </c>
      <c r="B24" s="15" t="n">
        <f aca="false">SUM(C24:Q24)</f>
        <v>45063.2293436728</v>
      </c>
      <c r="C24" s="21" t="n">
        <f aca="false">'Comp - Hotel'!D7*1000</f>
        <v>0</v>
      </c>
      <c r="D24" s="21" t="n">
        <f aca="false">'Comp - Hotel'!E7*1000</f>
        <v>9012.64586873457</v>
      </c>
      <c r="E24" s="21" t="n">
        <f aca="false">'Comp - Hotel'!F7*1000</f>
        <v>24784.7761390201</v>
      </c>
      <c r="F24" s="21" t="n">
        <f aca="false">'Comp - Hotel'!G7*1000</f>
        <v>11265.8073359182</v>
      </c>
      <c r="G24" s="21" t="n">
        <f aca="false">'Comp - Hotel'!H7*1000</f>
        <v>0</v>
      </c>
      <c r="H24" s="21" t="n">
        <f aca="false">'Comp - Hotel'!I7*1000</f>
        <v>0</v>
      </c>
      <c r="I24" s="21" t="n">
        <f aca="false">'Comp - Hotel'!J7*1000</f>
        <v>0</v>
      </c>
      <c r="J24" s="21" t="n">
        <f aca="false">'Comp - Hotel'!K7*1000</f>
        <v>0</v>
      </c>
      <c r="K24" s="21" t="n">
        <f aca="false">'Comp - Hotel'!L7*1000</f>
        <v>0</v>
      </c>
      <c r="L24" s="21" t="n">
        <f aca="false">'Comp - Hotel'!M7*1000</f>
        <v>0</v>
      </c>
      <c r="M24" s="21" t="n">
        <f aca="false">'Comp - Hotel'!N7*1000</f>
        <v>0</v>
      </c>
      <c r="N24" s="21" t="n">
        <f aca="false">'Comp - Hotel'!O7*1000</f>
        <v>0</v>
      </c>
      <c r="O24" s="21" t="n">
        <f aca="false">'Comp - Hotel'!P7*1000</f>
        <v>0</v>
      </c>
      <c r="P24" s="21" t="n">
        <f aca="false">'Comp - Hotel'!Q7*1000</f>
        <v>0</v>
      </c>
      <c r="Q24" s="21" t="n">
        <f aca="false">'Comp - Hotel'!R7*1000</f>
        <v>0</v>
      </c>
    </row>
    <row r="25" customFormat="false" ht="15" hidden="false" customHeight="false" outlineLevel="0" collapsed="false">
      <c r="A25" s="20" t="s">
        <v>65</v>
      </c>
      <c r="B25" s="15" t="n">
        <f aca="false">SUM(C25:Q25)</f>
        <v>26286.8837838092</v>
      </c>
      <c r="C25" s="21" t="n">
        <f aca="false">'Comp - Hotel'!D8*1000</f>
        <v>0</v>
      </c>
      <c r="D25" s="21" t="n">
        <f aca="false">'Comp - Hotel'!E8*1000</f>
        <v>5257.37675676183</v>
      </c>
      <c r="E25" s="21" t="n">
        <f aca="false">'Comp - Hotel'!F8*1000</f>
        <v>14457.786081095</v>
      </c>
      <c r="F25" s="21" t="n">
        <f aca="false">'Comp - Hotel'!G8*1000</f>
        <v>6571.72094595229</v>
      </c>
      <c r="G25" s="21" t="n">
        <f aca="false">'Comp - Hotel'!H8*1000</f>
        <v>0</v>
      </c>
      <c r="H25" s="21" t="n">
        <f aca="false">'Comp - Hotel'!I8*1000</f>
        <v>0</v>
      </c>
      <c r="I25" s="21" t="n">
        <f aca="false">'Comp - Hotel'!J8*1000</f>
        <v>0</v>
      </c>
      <c r="J25" s="21" t="n">
        <f aca="false">'Comp - Hotel'!K8*1000</f>
        <v>0</v>
      </c>
      <c r="K25" s="21" t="n">
        <f aca="false">'Comp - Hotel'!L8*1000</f>
        <v>0</v>
      </c>
      <c r="L25" s="21" t="n">
        <f aca="false">'Comp - Hotel'!M8*1000</f>
        <v>0</v>
      </c>
      <c r="M25" s="21" t="n">
        <f aca="false">'Comp - Hotel'!N8*1000</f>
        <v>0</v>
      </c>
      <c r="N25" s="21" t="n">
        <f aca="false">'Comp - Hotel'!O8*1000</f>
        <v>0</v>
      </c>
      <c r="O25" s="21" t="n">
        <f aca="false">'Comp - Hotel'!P8*1000</f>
        <v>0</v>
      </c>
      <c r="P25" s="21" t="n">
        <f aca="false">'Comp - Hotel'!Q8*1000</f>
        <v>0</v>
      </c>
      <c r="Q25" s="21" t="n">
        <f aca="false">'Comp - Hotel'!R8*1000</f>
        <v>0</v>
      </c>
    </row>
    <row r="26" customFormat="false" ht="15" hidden="false" customHeight="false" outlineLevel="0" collapsed="false">
      <c r="A26" s="20" t="s">
        <v>66</v>
      </c>
      <c r="B26" s="15" t="n">
        <f aca="false">SUM(C26:Q26)</f>
        <v>24446.8019189425</v>
      </c>
      <c r="C26" s="21" t="n">
        <f aca="false">'Comp - Hotel'!D9*1000</f>
        <v>0</v>
      </c>
      <c r="D26" s="21" t="n">
        <f aca="false">'Comp - Hotel'!E9*1000</f>
        <v>4889.3603837885</v>
      </c>
      <c r="E26" s="21" t="n">
        <f aca="false">'Comp - Hotel'!F9*1000</f>
        <v>13445.7410554184</v>
      </c>
      <c r="F26" s="21" t="n">
        <f aca="false">'Comp - Hotel'!G9*1000</f>
        <v>6111.70047973563</v>
      </c>
      <c r="G26" s="21" t="n">
        <f aca="false">'Comp - Hotel'!H9*1000</f>
        <v>0</v>
      </c>
      <c r="H26" s="21" t="n">
        <f aca="false">'Comp - Hotel'!I9*1000</f>
        <v>0</v>
      </c>
      <c r="I26" s="21" t="n">
        <f aca="false">'Comp - Hotel'!J9*1000</f>
        <v>0</v>
      </c>
      <c r="J26" s="21" t="n">
        <f aca="false">'Comp - Hotel'!K9*1000</f>
        <v>0</v>
      </c>
      <c r="K26" s="21" t="n">
        <f aca="false">'Comp - Hotel'!L9*1000</f>
        <v>0</v>
      </c>
      <c r="L26" s="21" t="n">
        <f aca="false">'Comp - Hotel'!M9*1000</f>
        <v>0</v>
      </c>
      <c r="M26" s="21" t="n">
        <f aca="false">'Comp - Hotel'!N9*1000</f>
        <v>0</v>
      </c>
      <c r="N26" s="21" t="n">
        <f aca="false">'Comp - Hotel'!O9*1000</f>
        <v>0</v>
      </c>
      <c r="O26" s="21" t="n">
        <f aca="false">'Comp - Hotel'!P9*1000</f>
        <v>0</v>
      </c>
      <c r="P26" s="21" t="n">
        <f aca="false">'Comp - Hotel'!Q9*1000</f>
        <v>0</v>
      </c>
      <c r="Q26" s="21" t="n">
        <f aca="false">'Comp - Hotel'!R9*1000</f>
        <v>0</v>
      </c>
    </row>
    <row r="27" customFormat="false" ht="15" hidden="false" customHeight="false" outlineLevel="0" collapsed="false">
      <c r="A27" s="20" t="s">
        <v>67</v>
      </c>
      <c r="B27" s="15" t="n">
        <f aca="false">SUM(C27:Q27)</f>
        <v>35000</v>
      </c>
      <c r="C27" s="21" t="n">
        <f aca="false">('Comp - Hotel'!D10+'Comp - Hotel'!D11)*1000</f>
        <v>0</v>
      </c>
      <c r="D27" s="21" t="n">
        <f aca="false">('Comp - Hotel'!E10+'Comp - Hotel'!E11)*1000</f>
        <v>7000</v>
      </c>
      <c r="E27" s="21" t="n">
        <f aca="false">('Comp - Hotel'!F10+'Comp - Hotel'!F11)*1000</f>
        <v>19250</v>
      </c>
      <c r="F27" s="21" t="n">
        <f aca="false">('Comp - Hotel'!G10+'Comp - Hotel'!G11)*1000</f>
        <v>8750</v>
      </c>
      <c r="G27" s="21" t="n">
        <f aca="false">('Comp - Hotel'!H10+'Comp - Hotel'!H11)*1000</f>
        <v>0</v>
      </c>
      <c r="H27" s="21" t="n">
        <f aca="false">('Comp - Hotel'!I10+'Comp - Hotel'!I11)*1000</f>
        <v>0</v>
      </c>
      <c r="I27" s="21" t="n">
        <f aca="false">('Comp - Hotel'!J10+'Comp - Hotel'!J11)*1000</f>
        <v>0</v>
      </c>
      <c r="J27" s="21" t="n">
        <f aca="false">('Comp - Hotel'!K10+'Comp - Hotel'!K11)*1000</f>
        <v>0</v>
      </c>
      <c r="K27" s="21" t="n">
        <f aca="false">('Comp - Hotel'!L10+'Comp - Hotel'!L11)*1000</f>
        <v>0</v>
      </c>
      <c r="L27" s="21" t="n">
        <f aca="false">('Comp - Hotel'!M10+'Comp - Hotel'!M11)*1000</f>
        <v>0</v>
      </c>
      <c r="M27" s="21" t="n">
        <f aca="false">('Comp - Hotel'!N10+'Comp - Hotel'!N11)*1000</f>
        <v>0</v>
      </c>
      <c r="N27" s="21" t="n">
        <f aca="false">('Comp - Hotel'!O10+'Comp - Hotel'!O11)*1000</f>
        <v>0</v>
      </c>
      <c r="O27" s="21" t="n">
        <f aca="false">('Comp - Hotel'!P10+'Comp - Hotel'!P11)*1000</f>
        <v>0</v>
      </c>
      <c r="P27" s="21" t="n">
        <f aca="false">('Comp - Hotel'!Q10+'Comp - Hotel'!Q11)*1000</f>
        <v>0</v>
      </c>
      <c r="Q27" s="21" t="n">
        <f aca="false">('Comp - Hotel'!R10+'Comp - Hotel'!R11)*1000</f>
        <v>0</v>
      </c>
    </row>
    <row r="28" customFormat="false" ht="15" hidden="false" customHeight="false" outlineLevel="0" collapsed="false">
      <c r="A28" s="20" t="s">
        <v>68</v>
      </c>
      <c r="B28" s="15" t="n">
        <f aca="false">SUM(C28:Q28)</f>
        <v>5632.90366795911</v>
      </c>
      <c r="C28" s="21" t="n">
        <f aca="false">('Comp - Hotel'!D12+'Comp - Hotel'!D13)*1000</f>
        <v>0</v>
      </c>
      <c r="D28" s="21" t="n">
        <f aca="false">('Comp - Hotel'!E12+'Comp - Hotel'!E13)*1000</f>
        <v>1126.58073359182</v>
      </c>
      <c r="E28" s="21" t="n">
        <f aca="false">('Comp - Hotel'!F12+'Comp - Hotel'!F13)*1000</f>
        <v>3098.09701737751</v>
      </c>
      <c r="F28" s="21" t="n">
        <f aca="false">('Comp - Hotel'!G12+'Comp - Hotel'!G13)*1000</f>
        <v>1408.22591698978</v>
      </c>
      <c r="G28" s="21" t="n">
        <f aca="false">('Comp - Hotel'!H12+'Comp - Hotel'!H13)*1000</f>
        <v>0</v>
      </c>
      <c r="H28" s="21" t="n">
        <f aca="false">('Comp - Hotel'!I12+'Comp - Hotel'!I13)*1000</f>
        <v>0</v>
      </c>
      <c r="I28" s="21" t="n">
        <f aca="false">('Comp - Hotel'!J12+'Comp - Hotel'!J13)*1000</f>
        <v>0</v>
      </c>
      <c r="J28" s="21" t="n">
        <f aca="false">('Comp - Hotel'!K12+'Comp - Hotel'!K13)*1000</f>
        <v>0</v>
      </c>
      <c r="K28" s="21" t="n">
        <f aca="false">('Comp - Hotel'!L12+'Comp - Hotel'!L13)*1000</f>
        <v>0</v>
      </c>
      <c r="L28" s="21" t="n">
        <f aca="false">('Comp - Hotel'!M12+'Comp - Hotel'!M13)*1000</f>
        <v>0</v>
      </c>
      <c r="M28" s="21" t="n">
        <f aca="false">('Comp - Hotel'!N12+'Comp - Hotel'!N13)*1000</f>
        <v>0</v>
      </c>
      <c r="N28" s="21" t="n">
        <f aca="false">('Comp - Hotel'!O12+'Comp - Hotel'!O13)*1000</f>
        <v>0</v>
      </c>
      <c r="O28" s="21" t="n">
        <f aca="false">('Comp - Hotel'!P12+'Comp - Hotel'!P13)*1000</f>
        <v>0</v>
      </c>
      <c r="P28" s="21" t="n">
        <f aca="false">('Comp - Hotel'!Q12+'Comp - Hotel'!Q13)*1000</f>
        <v>0</v>
      </c>
      <c r="Q28" s="21" t="n">
        <f aca="false">('Comp - Hotel'!R12+'Comp - Hotel'!R13)*1000</f>
        <v>0</v>
      </c>
    </row>
    <row r="29" customFormat="false" ht="15" hidden="false" customHeight="false" outlineLevel="0" collapsed="false">
      <c r="A29" s="20" t="s">
        <v>69</v>
      </c>
      <c r="B29" s="15" t="n">
        <f aca="false">SUM(C29:Q29)</f>
        <v>10514.7535135237</v>
      </c>
      <c r="C29" s="21" t="n">
        <f aca="false">('Comp - Hotel'!D14+'Comp - Hotel'!D15+'Comp - Hotel'!D16)*1000</f>
        <v>0</v>
      </c>
      <c r="D29" s="21" t="n">
        <f aca="false">('Comp - Hotel'!E14+'Comp - Hotel'!E15+'Comp - Hotel'!E16)*1000</f>
        <v>2102.95070270473</v>
      </c>
      <c r="E29" s="21" t="n">
        <f aca="false">('Comp - Hotel'!F14+'Comp - Hotel'!F15+'Comp - Hotel'!F16)*1000</f>
        <v>5783.11443243802</v>
      </c>
      <c r="F29" s="21" t="n">
        <f aca="false">('Comp - Hotel'!G14+'Comp - Hotel'!G15+'Comp - Hotel'!G16)*1000</f>
        <v>2628.68837838092</v>
      </c>
      <c r="G29" s="21" t="n">
        <f aca="false">('Comp - Hotel'!H14+'Comp - Hotel'!H15+'Comp - Hotel'!H16)*1000</f>
        <v>0</v>
      </c>
      <c r="H29" s="21" t="n">
        <f aca="false">('Comp - Hotel'!I14+'Comp - Hotel'!I15+'Comp - Hotel'!I16)*1000</f>
        <v>0</v>
      </c>
      <c r="I29" s="21" t="n">
        <f aca="false">('Comp - Hotel'!J14+'Comp - Hotel'!J15+'Comp - Hotel'!J16)*1000</f>
        <v>0</v>
      </c>
      <c r="J29" s="21" t="n">
        <f aca="false">('Comp - Hotel'!K14+'Comp - Hotel'!K15+'Comp - Hotel'!K16)*1000</f>
        <v>0</v>
      </c>
      <c r="K29" s="21" t="n">
        <f aca="false">('Comp - Hotel'!L14+'Comp - Hotel'!L15+'Comp - Hotel'!L16)*1000</f>
        <v>0</v>
      </c>
      <c r="L29" s="21" t="n">
        <f aca="false">('Comp - Hotel'!M14+'Comp - Hotel'!M15+'Comp - Hotel'!M16)*1000</f>
        <v>0</v>
      </c>
      <c r="M29" s="21" t="n">
        <f aca="false">('Comp - Hotel'!N14+'Comp - Hotel'!N15+'Comp - Hotel'!N16)*1000</f>
        <v>0</v>
      </c>
      <c r="N29" s="21" t="n">
        <f aca="false">('Comp - Hotel'!O14+'Comp - Hotel'!O15+'Comp - Hotel'!O16)*1000</f>
        <v>0</v>
      </c>
      <c r="O29" s="21" t="n">
        <f aca="false">('Comp - Hotel'!P14+'Comp - Hotel'!P15+'Comp - Hotel'!P16)*1000</f>
        <v>0</v>
      </c>
      <c r="P29" s="21" t="n">
        <f aca="false">('Comp - Hotel'!Q14+'Comp - Hotel'!Q15+'Comp - Hotel'!Q16)*1000</f>
        <v>0</v>
      </c>
      <c r="Q29" s="21" t="n">
        <f aca="false">('Comp - Hotel'!R14+'Comp - Hotel'!R15+'Comp - Hotel'!R16)*1000</f>
        <v>0</v>
      </c>
    </row>
    <row r="30" customFormat="false" ht="15" hidden="false" customHeight="false" outlineLevel="0" collapsed="false">
      <c r="A30" s="20" t="s">
        <v>70</v>
      </c>
      <c r="B30" s="15" t="n">
        <f aca="false">SUM(C30:Q30)</f>
        <v>4506.32293436728</v>
      </c>
      <c r="C30" s="21" t="n">
        <f aca="false">('Comp - Hotel'!D17+'Comp - Hotel'!D18)*1000</f>
        <v>0</v>
      </c>
      <c r="D30" s="21" t="n">
        <f aca="false">('Comp - Hotel'!E17+'Comp - Hotel'!E18)*1000</f>
        <v>901.264586873457</v>
      </c>
      <c r="E30" s="21" t="n">
        <f aca="false">('Comp - Hotel'!F17+'Comp - Hotel'!F18)*1000</f>
        <v>2478.47761390201</v>
      </c>
      <c r="F30" s="21" t="n">
        <f aca="false">('Comp - Hotel'!G17+'Comp - Hotel'!G18)*1000</f>
        <v>1126.58073359182</v>
      </c>
      <c r="G30" s="21" t="n">
        <f aca="false">('Comp - Hotel'!H17+'Comp - Hotel'!H18)*1000</f>
        <v>0</v>
      </c>
      <c r="H30" s="21" t="n">
        <f aca="false">('Comp - Hotel'!I17+'Comp - Hotel'!I18)*1000</f>
        <v>0</v>
      </c>
      <c r="I30" s="21" t="n">
        <f aca="false">('Comp - Hotel'!J17+'Comp - Hotel'!J18)*1000</f>
        <v>0</v>
      </c>
      <c r="J30" s="21" t="n">
        <f aca="false">('Comp - Hotel'!K17+'Comp - Hotel'!K18)*1000</f>
        <v>0</v>
      </c>
      <c r="K30" s="21" t="n">
        <f aca="false">('Comp - Hotel'!L17+'Comp - Hotel'!L18)*1000</f>
        <v>0</v>
      </c>
      <c r="L30" s="21" t="n">
        <f aca="false">('Comp - Hotel'!M17+'Comp - Hotel'!M18)*1000</f>
        <v>0</v>
      </c>
      <c r="M30" s="21" t="n">
        <f aca="false">('Comp - Hotel'!N17+'Comp - Hotel'!N18)*1000</f>
        <v>0</v>
      </c>
      <c r="N30" s="21" t="n">
        <f aca="false">('Comp - Hotel'!O17+'Comp - Hotel'!O18)*1000</f>
        <v>0</v>
      </c>
      <c r="O30" s="21" t="n">
        <f aca="false">('Comp - Hotel'!P17+'Comp - Hotel'!P18)*1000</f>
        <v>0</v>
      </c>
      <c r="P30" s="21" t="n">
        <f aca="false">('Comp - Hotel'!Q17+'Comp - Hotel'!Q18)*1000</f>
        <v>0</v>
      </c>
      <c r="Q30" s="21" t="n">
        <f aca="false">('Comp - Hotel'!R17+'Comp - Hotel'!R18)*1000</f>
        <v>0</v>
      </c>
    </row>
    <row r="31" customFormat="false" ht="15" hidden="false" customHeight="false" outlineLevel="0" collapsed="false">
      <c r="A31" s="20" t="s">
        <v>71</v>
      </c>
      <c r="B31" s="15" t="n">
        <f aca="false">SUM(C31:Q31)</f>
        <v>15000</v>
      </c>
      <c r="C31" s="21" t="n">
        <f aca="false">'Comp - Hotel'!D21*1000</f>
        <v>0</v>
      </c>
      <c r="D31" s="21" t="n">
        <f aca="false">'Comp - Hotel'!E21*1000</f>
        <v>0</v>
      </c>
      <c r="E31" s="21" t="n">
        <f aca="false">'Comp - Hotel'!F21*1000</f>
        <v>4999.5</v>
      </c>
      <c r="F31" s="21" t="n">
        <f aca="false">'Comp - Hotel'!G21*1000</f>
        <v>10000.5</v>
      </c>
      <c r="G31" s="21" t="n">
        <f aca="false">'Comp - Hotel'!H21*1000</f>
        <v>0</v>
      </c>
      <c r="H31" s="21" t="n">
        <f aca="false">'Comp - Hotel'!I21*1000</f>
        <v>0</v>
      </c>
      <c r="I31" s="21" t="n">
        <f aca="false">'Comp - Hotel'!J21*1000</f>
        <v>0</v>
      </c>
      <c r="J31" s="21" t="n">
        <f aca="false">'Comp - Hotel'!K21*1000</f>
        <v>0</v>
      </c>
      <c r="K31" s="21" t="n">
        <f aca="false">'Comp - Hotel'!L21*1000</f>
        <v>0</v>
      </c>
      <c r="L31" s="21" t="n">
        <f aca="false">'Comp - Hotel'!M21*1000</f>
        <v>0</v>
      </c>
      <c r="M31" s="21" t="n">
        <f aca="false">'Comp - Hotel'!N21*1000</f>
        <v>0</v>
      </c>
      <c r="N31" s="21" t="n">
        <f aca="false">'Comp - Hotel'!O21*1000</f>
        <v>0</v>
      </c>
      <c r="O31" s="21" t="n">
        <f aca="false">'Comp - Hotel'!P21*1000</f>
        <v>0</v>
      </c>
      <c r="P31" s="21" t="n">
        <f aca="false">'Comp - Hotel'!Q21*1000</f>
        <v>0</v>
      </c>
      <c r="Q31" s="21" t="n">
        <f aca="false">'Comp - Hotel'!R21*1000</f>
        <v>0</v>
      </c>
    </row>
    <row r="32" customFormat="false" ht="15" hidden="false" customHeight="false" outlineLevel="0" collapsed="false">
      <c r="A32" s="22" t="s">
        <v>72</v>
      </c>
      <c r="B32" s="18" t="n">
        <f aca="false">SUM(C32:Q32)</f>
        <v>215269.39361792</v>
      </c>
      <c r="C32" s="19" t="n">
        <f aca="false">SUM(C23:C31)</f>
        <v>0</v>
      </c>
      <c r="D32" s="19" t="n">
        <f aca="false">SUM(D23:D31)</f>
        <v>40053.878723584</v>
      </c>
      <c r="E32" s="19" t="n">
        <f aca="false">SUM(E23:E31)</f>
        <v>115147.666489856</v>
      </c>
      <c r="F32" s="19" t="n">
        <f aca="false">SUM(F23:F31)</f>
        <v>60067.84840448</v>
      </c>
      <c r="G32" s="19" t="n">
        <f aca="false">SUM(G23:G31)</f>
        <v>0</v>
      </c>
      <c r="H32" s="19" t="n">
        <f aca="false">SUM(H23:H31)</f>
        <v>0</v>
      </c>
      <c r="I32" s="19" t="n">
        <f aca="false">SUM(I23:I31)</f>
        <v>0</v>
      </c>
      <c r="J32" s="19" t="n">
        <f aca="false">SUM(J23:J31)</f>
        <v>0</v>
      </c>
      <c r="K32" s="19" t="n">
        <f aca="false">SUM(K23:K31)</f>
        <v>0</v>
      </c>
      <c r="L32" s="19" t="n">
        <f aca="false">SUM(L23:L31)</f>
        <v>0</v>
      </c>
      <c r="M32" s="19" t="n">
        <f aca="false">SUM(M23:M31)</f>
        <v>0</v>
      </c>
      <c r="N32" s="19" t="n">
        <f aca="false">SUM(N23:N31)</f>
        <v>0</v>
      </c>
      <c r="O32" s="19" t="n">
        <f aca="false">SUM(O23:O31)</f>
        <v>0</v>
      </c>
      <c r="P32" s="19" t="n">
        <f aca="false">SUM(P23:P31)</f>
        <v>0</v>
      </c>
      <c r="Q32" s="19" t="n">
        <f aca="false">SUM(Q23:Q31)</f>
        <v>0</v>
      </c>
    </row>
    <row r="34" customFormat="false" ht="15" hidden="false" customHeight="false" outlineLevel="0" collapsed="false">
      <c r="A34" s="14" t="s">
        <v>73</v>
      </c>
      <c r="B34" s="15" t="n">
        <f aca="false">SUM(C34:Q34)</f>
        <v>243013.575934969</v>
      </c>
      <c r="C34" s="16" t="n">
        <f aca="false">C20-C32</f>
        <v>0</v>
      </c>
      <c r="D34" s="16" t="n">
        <f aca="false">D20-D32</f>
        <v>-40053.878723584</v>
      </c>
      <c r="E34" s="16" t="n">
        <f aca="false">E20-E32</f>
        <v>-115147.666489856</v>
      </c>
      <c r="F34" s="16" t="n">
        <f aca="false">F20-F32</f>
        <v>-45363.221110715</v>
      </c>
      <c r="G34" s="16" t="n">
        <f aca="false">G20-G32</f>
        <v>33365.8712990541</v>
      </c>
      <c r="H34" s="16" t="n">
        <f aca="false">H20-H32</f>
        <v>37105.0430275908</v>
      </c>
      <c r="I34" s="16" t="n">
        <f aca="false">I20-I32</f>
        <v>37925.0644785005</v>
      </c>
      <c r="J34" s="16" t="n">
        <f aca="false">J20-J32</f>
        <v>38763.2084034754</v>
      </c>
      <c r="K34" s="16" t="n">
        <f aca="false">K20-K32</f>
        <v>39619.8753091922</v>
      </c>
      <c r="L34" s="16" t="n">
        <f aca="false">L20-L32</f>
        <v>40495.4745535253</v>
      </c>
      <c r="M34" s="16" t="n">
        <f aca="false">M20-M32</f>
        <v>41390.4245411582</v>
      </c>
      <c r="N34" s="16" t="n">
        <f aca="false">N20-N32</f>
        <v>42305.1529235178</v>
      </c>
      <c r="O34" s="16" t="n">
        <f aca="false">O20-O32</f>
        <v>43240.0968031276</v>
      </c>
      <c r="P34" s="16" t="n">
        <f aca="false">P20-P32</f>
        <v>44195.7029424767</v>
      </c>
      <c r="Q34" s="16" t="n">
        <f aca="false">Q20-Q32</f>
        <v>45172.4279775054</v>
      </c>
    </row>
    <row r="35" customFormat="false" ht="15" hidden="false" customHeight="false" outlineLevel="0" collapsed="false">
      <c r="A35" s="20" t="s">
        <v>74</v>
      </c>
      <c r="B35" s="15" t="n">
        <f aca="false">SUM(C35:Q35)</f>
        <v>443634.998979731</v>
      </c>
      <c r="C35" s="21" t="n">
        <f aca="false">IF(2026=2040,'Comp - Hotel'!S43/Inputs!$B$197*(1-(1+Inputs!$B$197)^-(Inputs!$B$55-2040))*1000,0)</f>
        <v>0</v>
      </c>
      <c r="D35" s="21" t="n">
        <f aca="false">IF(2027=2040,'Comp - Hotel'!S43/Inputs!$B$197*(1-(1+Inputs!$B$197)^-(Inputs!$B$55-2040))*1000,0)</f>
        <v>0</v>
      </c>
      <c r="E35" s="21" t="n">
        <f aca="false">IF(2028=2040,'Comp - Hotel'!S43/Inputs!$B$197*(1-(1+Inputs!$B$197)^-(Inputs!$B$55-2040))*1000,0)</f>
        <v>0</v>
      </c>
      <c r="F35" s="21" t="n">
        <f aca="false">IF(2029=2040,'Comp - Hotel'!S43/Inputs!$B$197*(1-(1+Inputs!$B$197)^-(Inputs!$B$55-2040))*1000,0)</f>
        <v>0</v>
      </c>
      <c r="G35" s="21" t="n">
        <f aca="false">IF(2030=2040,'Comp - Hotel'!S43/Inputs!$B$197*(1-(1+Inputs!$B$197)^-(Inputs!$B$55-2040))*1000,0)</f>
        <v>0</v>
      </c>
      <c r="H35" s="21" t="n">
        <f aca="false">IF(2031=2040,'Comp - Hotel'!S43/Inputs!$B$197*(1-(1+Inputs!$B$197)^-(Inputs!$B$55-2040))*1000,0)</f>
        <v>0</v>
      </c>
      <c r="I35" s="21" t="n">
        <f aca="false">IF(2032=2040,'Comp - Hotel'!S43/Inputs!$B$197*(1-(1+Inputs!$B$197)^-(Inputs!$B$55-2040))*1000,0)</f>
        <v>0</v>
      </c>
      <c r="J35" s="21" t="n">
        <f aca="false">IF(2033=2040,'Comp - Hotel'!S43/Inputs!$B$197*(1-(1+Inputs!$B$197)^-(Inputs!$B$55-2040))*1000,0)</f>
        <v>0</v>
      </c>
      <c r="K35" s="21" t="n">
        <f aca="false">IF(2034=2040,'Comp - Hotel'!S43/Inputs!$B$197*(1-(1+Inputs!$B$197)^-(Inputs!$B$55-2040))*1000,0)</f>
        <v>0</v>
      </c>
      <c r="L35" s="21" t="n">
        <f aca="false">IF(2035=2040,'Comp - Hotel'!S43/Inputs!$B$197*(1-(1+Inputs!$B$197)^-(Inputs!$B$55-2040))*1000,0)</f>
        <v>0</v>
      </c>
      <c r="M35" s="21" t="n">
        <f aca="false">IF(2036=2040,'Comp - Hotel'!S43/Inputs!$B$197*(1-(1+Inputs!$B$197)^-(Inputs!$B$55-2040))*1000,0)</f>
        <v>0</v>
      </c>
      <c r="N35" s="21" t="n">
        <f aca="false">IF(2037=2040,'Comp - Hotel'!S43/Inputs!$B$197*(1-(1+Inputs!$B$197)^-(Inputs!$B$55-2040))*1000,0)</f>
        <v>0</v>
      </c>
      <c r="O35" s="21" t="n">
        <f aca="false">IF(2038=2040,'Comp - Hotel'!S43/Inputs!$B$197*(1-(1+Inputs!$B$197)^-(Inputs!$B$55-2040))*1000,0)</f>
        <v>0</v>
      </c>
      <c r="P35" s="21" t="n">
        <f aca="false">IF(2039=2040,'Comp - Hotel'!S43/Inputs!$B$197*(1-(1+Inputs!$B$197)^-(Inputs!$B$55-2040))*1000,0)</f>
        <v>0</v>
      </c>
      <c r="Q35" s="21" t="n">
        <f aca="false">IF(2040=2040,'Comp - Hotel'!S43/Inputs!$B$197*(1-(1+Inputs!$B$197)^-(Inputs!$B$55-2040))*1000,0)</f>
        <v>443634.998979731</v>
      </c>
    </row>
    <row r="36" customFormat="false" ht="15" hidden="false" customHeight="false" outlineLevel="0" collapsed="false">
      <c r="A36" s="22" t="s">
        <v>75</v>
      </c>
      <c r="B36" s="18" t="n">
        <f aca="false">SUM(C36:Q36)</f>
        <v>686648.5749147</v>
      </c>
      <c r="C36" s="19" t="n">
        <f aca="false">C34+C35</f>
        <v>0</v>
      </c>
      <c r="D36" s="19" t="n">
        <f aca="false">D34+D35</f>
        <v>-40053.878723584</v>
      </c>
      <c r="E36" s="19" t="n">
        <f aca="false">E34+E35</f>
        <v>-115147.666489856</v>
      </c>
      <c r="F36" s="19" t="n">
        <f aca="false">F34+F35</f>
        <v>-45363.221110715</v>
      </c>
      <c r="G36" s="19" t="n">
        <f aca="false">G34+G35</f>
        <v>33365.8712990541</v>
      </c>
      <c r="H36" s="19" t="n">
        <f aca="false">H34+H35</f>
        <v>37105.0430275908</v>
      </c>
      <c r="I36" s="19" t="n">
        <f aca="false">I34+I35</f>
        <v>37925.0644785005</v>
      </c>
      <c r="J36" s="19" t="n">
        <f aca="false">J34+J35</f>
        <v>38763.2084034754</v>
      </c>
      <c r="K36" s="19" t="n">
        <f aca="false">K34+K35</f>
        <v>39619.8753091922</v>
      </c>
      <c r="L36" s="19" t="n">
        <f aca="false">L34+L35</f>
        <v>40495.4745535253</v>
      </c>
      <c r="M36" s="19" t="n">
        <f aca="false">M34+M35</f>
        <v>41390.4245411582</v>
      </c>
      <c r="N36" s="19" t="n">
        <f aca="false">N34+N35</f>
        <v>42305.1529235178</v>
      </c>
      <c r="O36" s="19" t="n">
        <f aca="false">O34+O35</f>
        <v>43240.0968031276</v>
      </c>
      <c r="P36" s="19" t="n">
        <f aca="false">P34+P35</f>
        <v>44195.7029424767</v>
      </c>
      <c r="Q36" s="19" t="n">
        <f aca="false">Q34+Q35</f>
        <v>488807.426957236</v>
      </c>
    </row>
    <row r="37" customFormat="false" ht="15" hidden="false" customHeight="false" outlineLevel="0" collapsed="false">
      <c r="A37" s="23" t="s">
        <v>76</v>
      </c>
      <c r="B37" s="24" t="n">
        <f aca="false">IFERROR(IRR(C36:Q36),0)</f>
        <v>0.189680705903918</v>
      </c>
    </row>
    <row r="39" customFormat="false" ht="15" hidden="false" customHeight="false" outlineLevel="0" collapsed="false">
      <c r="A39" s="25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52" min="4" style="0" width="9.51"/>
  </cols>
  <sheetData>
    <row r="1" customFormat="false" ht="17.35" hidden="false" customHeight="false" outlineLevel="0" collapsed="false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customFormat="false" ht="15" hidden="false" customHeight="false" outlineLevel="0" collapsed="false">
      <c r="A2" s="28" t="s">
        <v>79</v>
      </c>
    </row>
    <row r="4" customFormat="false" ht="15" hidden="false" customHeight="false" outlineLevel="0" collapsed="false">
      <c r="A4" s="3" t="s">
        <v>80</v>
      </c>
      <c r="B4" s="3" t="s">
        <v>81</v>
      </c>
      <c r="C4" s="29" t="s">
        <v>14</v>
      </c>
      <c r="D4" s="30" t="s">
        <v>31</v>
      </c>
      <c r="E4" s="30" t="s">
        <v>32</v>
      </c>
      <c r="F4" s="30" t="s">
        <v>33</v>
      </c>
      <c r="G4" s="30" t="s">
        <v>34</v>
      </c>
      <c r="H4" s="30" t="s">
        <v>35</v>
      </c>
      <c r="I4" s="30" t="s">
        <v>36</v>
      </c>
      <c r="J4" s="30" t="s">
        <v>37</v>
      </c>
      <c r="K4" s="30" t="s">
        <v>38</v>
      </c>
      <c r="L4" s="30" t="s">
        <v>39</v>
      </c>
      <c r="M4" s="30" t="s">
        <v>40</v>
      </c>
      <c r="N4" s="30" t="s">
        <v>41</v>
      </c>
      <c r="O4" s="30" t="s">
        <v>42</v>
      </c>
      <c r="P4" s="30" t="s">
        <v>43</v>
      </c>
      <c r="Q4" s="30" t="s">
        <v>44</v>
      </c>
      <c r="R4" s="30" t="s">
        <v>45</v>
      </c>
      <c r="S4" s="30" t="s">
        <v>82</v>
      </c>
      <c r="T4" s="30" t="s">
        <v>83</v>
      </c>
      <c r="U4" s="30" t="s">
        <v>84</v>
      </c>
      <c r="V4" s="30" t="s">
        <v>85</v>
      </c>
      <c r="W4" s="30" t="s">
        <v>86</v>
      </c>
      <c r="X4" s="30" t="s">
        <v>87</v>
      </c>
      <c r="Y4" s="30" t="s">
        <v>88</v>
      </c>
      <c r="Z4" s="30" t="s">
        <v>89</v>
      </c>
      <c r="AA4" s="30" t="s">
        <v>90</v>
      </c>
      <c r="AB4" s="30" t="s">
        <v>91</v>
      </c>
      <c r="AC4" s="30" t="s">
        <v>92</v>
      </c>
      <c r="AD4" s="30" t="s">
        <v>93</v>
      </c>
      <c r="AE4" s="30" t="s">
        <v>94</v>
      </c>
      <c r="AF4" s="30" t="s">
        <v>95</v>
      </c>
      <c r="AG4" s="30" t="s">
        <v>96</v>
      </c>
      <c r="AH4" s="30" t="s">
        <v>97</v>
      </c>
      <c r="AI4" s="30" t="s">
        <v>98</v>
      </c>
      <c r="AJ4" s="30" t="s">
        <v>99</v>
      </c>
      <c r="AK4" s="30" t="s">
        <v>100</v>
      </c>
      <c r="AL4" s="30" t="s">
        <v>101</v>
      </c>
      <c r="AM4" s="30" t="s">
        <v>102</v>
      </c>
      <c r="AN4" s="30" t="s">
        <v>103</v>
      </c>
      <c r="AO4" s="30" t="s">
        <v>104</v>
      </c>
      <c r="AP4" s="30" t="s">
        <v>105</v>
      </c>
      <c r="AQ4" s="30" t="s">
        <v>106</v>
      </c>
      <c r="AR4" s="30" t="s">
        <v>107</v>
      </c>
      <c r="AS4" s="30" t="s">
        <v>108</v>
      </c>
      <c r="AT4" s="30" t="s">
        <v>109</v>
      </c>
      <c r="AU4" s="30" t="s">
        <v>110</v>
      </c>
      <c r="AV4" s="30" t="s">
        <v>111</v>
      </c>
      <c r="AW4" s="30" t="s">
        <v>112</v>
      </c>
      <c r="AX4" s="30" t="s">
        <v>113</v>
      </c>
      <c r="AY4" s="30" t="s">
        <v>114</v>
      </c>
      <c r="AZ4" s="30" t="s">
        <v>115</v>
      </c>
    </row>
    <row r="5" customFormat="false" ht="15" hidden="false" customHeight="false" outlineLevel="0" collapsed="false">
      <c r="A5" s="31" t="s">
        <v>116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</row>
    <row r="6" customFormat="false" ht="15" hidden="false" customHeight="false" outlineLevel="0" collapsed="false">
      <c r="A6" s="33" t="s">
        <v>117</v>
      </c>
      <c r="C6" s="34" t="n">
        <f aca="false">SUM(D6:AZ6)</f>
        <v>48.8184984556456</v>
      </c>
      <c r="D6" s="35" t="n">
        <v>0</v>
      </c>
      <c r="E6" s="35" t="n">
        <f aca="false">SUM(Inputs!$B$26:$D$26)*(Inputs!$B$194/(Inputs!$B$194+Inputs!$B$195+Inputs!$B$196))*Inputs!$B$201*Inputs!$B$5*Inputs!$B$200</f>
        <v>9.76369969112912</v>
      </c>
      <c r="F6" s="35" t="n">
        <f aca="false">SUM(Inputs!$B$26:$D$26)*(Inputs!$B$194/(Inputs!$B$194+Inputs!$B$195+Inputs!$B$196))*Inputs!$B$202*Inputs!$B$5*Inputs!$B$200</f>
        <v>26.8501741506051</v>
      </c>
      <c r="G6" s="35" t="n">
        <f aca="false">SUM(Inputs!$B$26:$D$26)*(Inputs!$B$194/(Inputs!$B$194+Inputs!$B$195+Inputs!$B$196))*Inputs!$B$203*Inputs!$B$5*Inputs!$B$200</f>
        <v>12.2046246139114</v>
      </c>
      <c r="H6" s="35" t="n">
        <v>0</v>
      </c>
      <c r="I6" s="35" t="n">
        <v>0</v>
      </c>
      <c r="J6" s="35" t="n">
        <v>0</v>
      </c>
      <c r="K6" s="35" t="n">
        <v>0</v>
      </c>
      <c r="L6" s="35" t="n">
        <v>0</v>
      </c>
      <c r="M6" s="35" t="n">
        <v>0</v>
      </c>
      <c r="N6" s="35" t="n">
        <v>0</v>
      </c>
      <c r="O6" s="35" t="n">
        <v>0</v>
      </c>
      <c r="P6" s="35" t="n">
        <v>0</v>
      </c>
      <c r="Q6" s="35" t="n">
        <v>0</v>
      </c>
      <c r="R6" s="35" t="n">
        <v>0</v>
      </c>
      <c r="S6" s="35" t="n">
        <v>0</v>
      </c>
      <c r="T6" s="35" t="n">
        <v>0</v>
      </c>
      <c r="U6" s="35" t="n">
        <v>0</v>
      </c>
      <c r="V6" s="35" t="n">
        <v>0</v>
      </c>
      <c r="W6" s="35" t="n">
        <v>0</v>
      </c>
      <c r="X6" s="35" t="n">
        <v>0</v>
      </c>
      <c r="Y6" s="35" t="n">
        <v>0</v>
      </c>
      <c r="Z6" s="35" t="n">
        <v>0</v>
      </c>
      <c r="AA6" s="35" t="n">
        <v>0</v>
      </c>
      <c r="AB6" s="35" t="n">
        <v>0</v>
      </c>
      <c r="AC6" s="35" t="n">
        <v>0</v>
      </c>
      <c r="AD6" s="35" t="n">
        <v>0</v>
      </c>
      <c r="AE6" s="35" t="n">
        <v>0</v>
      </c>
      <c r="AF6" s="35" t="n">
        <v>0</v>
      </c>
      <c r="AG6" s="35" t="n">
        <v>0</v>
      </c>
      <c r="AH6" s="35" t="n">
        <v>0</v>
      </c>
      <c r="AI6" s="35" t="n">
        <v>0</v>
      </c>
      <c r="AJ6" s="35" t="n">
        <v>0</v>
      </c>
      <c r="AK6" s="35" t="n">
        <v>0</v>
      </c>
      <c r="AL6" s="35" t="n">
        <v>0</v>
      </c>
      <c r="AM6" s="35" t="n">
        <v>0</v>
      </c>
      <c r="AN6" s="35" t="n">
        <v>0</v>
      </c>
      <c r="AO6" s="35" t="n">
        <v>0</v>
      </c>
      <c r="AP6" s="35" t="n">
        <v>0</v>
      </c>
      <c r="AQ6" s="35" t="n">
        <v>0</v>
      </c>
      <c r="AR6" s="35" t="n">
        <v>0</v>
      </c>
      <c r="AS6" s="35" t="n">
        <v>0</v>
      </c>
      <c r="AT6" s="35" t="n">
        <v>0</v>
      </c>
      <c r="AU6" s="35" t="n">
        <v>0</v>
      </c>
      <c r="AV6" s="35" t="n">
        <v>0</v>
      </c>
      <c r="AW6" s="35" t="n">
        <v>0</v>
      </c>
      <c r="AX6" s="35" t="n">
        <v>0</v>
      </c>
      <c r="AY6" s="35" t="n">
        <v>0</v>
      </c>
      <c r="AZ6" s="35" t="n">
        <v>0</v>
      </c>
    </row>
    <row r="7" customFormat="false" ht="15" hidden="false" customHeight="false" outlineLevel="0" collapsed="false">
      <c r="A7" s="33" t="s">
        <v>118</v>
      </c>
      <c r="C7" s="34" t="n">
        <f aca="false">SUM(D7:AZ7)</f>
        <v>45.0632293436728</v>
      </c>
      <c r="D7" s="35" t="n">
        <v>0</v>
      </c>
      <c r="E7" s="35" t="n">
        <f aca="false">SUM(Inputs!$B$27:$D$27)*(Inputs!$B$194/(Inputs!$B$194+Inputs!$B$195+Inputs!$B$196))*Inputs!$B$201*Inputs!$B$5*Inputs!$B$200</f>
        <v>9.01264586873457</v>
      </c>
      <c r="F7" s="35" t="n">
        <f aca="false">SUM(Inputs!$B$27:$D$27)*(Inputs!$B$194/(Inputs!$B$194+Inputs!$B$195+Inputs!$B$196))*Inputs!$B$202*Inputs!$B$5*Inputs!$B$200</f>
        <v>24.7847761390201</v>
      </c>
      <c r="G7" s="35" t="n">
        <f aca="false">SUM(Inputs!$B$27:$D$27)*(Inputs!$B$194/(Inputs!$B$194+Inputs!$B$195+Inputs!$B$196))*Inputs!$B$203*Inputs!$B$5*Inputs!$B$200</f>
        <v>11.2658073359182</v>
      </c>
      <c r="H7" s="35" t="n">
        <v>0</v>
      </c>
      <c r="I7" s="35" t="n">
        <v>0</v>
      </c>
      <c r="J7" s="35" t="n">
        <v>0</v>
      </c>
      <c r="K7" s="35" t="n">
        <v>0</v>
      </c>
      <c r="L7" s="35" t="n">
        <v>0</v>
      </c>
      <c r="M7" s="35" t="n">
        <v>0</v>
      </c>
      <c r="N7" s="35" t="n">
        <v>0</v>
      </c>
      <c r="O7" s="35" t="n">
        <v>0</v>
      </c>
      <c r="P7" s="35" t="n">
        <v>0</v>
      </c>
      <c r="Q7" s="35" t="n">
        <v>0</v>
      </c>
      <c r="R7" s="35" t="n">
        <v>0</v>
      </c>
      <c r="S7" s="35" t="n">
        <v>0</v>
      </c>
      <c r="T7" s="35" t="n">
        <v>0</v>
      </c>
      <c r="U7" s="35" t="n">
        <v>0</v>
      </c>
      <c r="V7" s="35" t="n">
        <v>0</v>
      </c>
      <c r="W7" s="35" t="n">
        <v>0</v>
      </c>
      <c r="X7" s="35" t="n">
        <v>0</v>
      </c>
      <c r="Y7" s="35" t="n">
        <v>0</v>
      </c>
      <c r="Z7" s="35" t="n">
        <v>0</v>
      </c>
      <c r="AA7" s="35" t="n">
        <v>0</v>
      </c>
      <c r="AB7" s="35" t="n">
        <v>0</v>
      </c>
      <c r="AC7" s="35" t="n">
        <v>0</v>
      </c>
      <c r="AD7" s="35" t="n">
        <v>0</v>
      </c>
      <c r="AE7" s="35" t="n">
        <v>0</v>
      </c>
      <c r="AF7" s="35" t="n">
        <v>0</v>
      </c>
      <c r="AG7" s="35" t="n">
        <v>0</v>
      </c>
      <c r="AH7" s="35" t="n">
        <v>0</v>
      </c>
      <c r="AI7" s="35" t="n">
        <v>0</v>
      </c>
      <c r="AJ7" s="35" t="n">
        <v>0</v>
      </c>
      <c r="AK7" s="35" t="n">
        <v>0</v>
      </c>
      <c r="AL7" s="35" t="n">
        <v>0</v>
      </c>
      <c r="AM7" s="35" t="n">
        <v>0</v>
      </c>
      <c r="AN7" s="35" t="n">
        <v>0</v>
      </c>
      <c r="AO7" s="35" t="n">
        <v>0</v>
      </c>
      <c r="AP7" s="35" t="n">
        <v>0</v>
      </c>
      <c r="AQ7" s="35" t="n">
        <v>0</v>
      </c>
      <c r="AR7" s="35" t="n">
        <v>0</v>
      </c>
      <c r="AS7" s="35" t="n">
        <v>0</v>
      </c>
      <c r="AT7" s="35" t="n">
        <v>0</v>
      </c>
      <c r="AU7" s="35" t="n">
        <v>0</v>
      </c>
      <c r="AV7" s="35" t="n">
        <v>0</v>
      </c>
      <c r="AW7" s="35" t="n">
        <v>0</v>
      </c>
      <c r="AX7" s="35" t="n">
        <v>0</v>
      </c>
      <c r="AY7" s="35" t="n">
        <v>0</v>
      </c>
      <c r="AZ7" s="35" t="n">
        <v>0</v>
      </c>
    </row>
    <row r="8" customFormat="false" ht="15" hidden="false" customHeight="false" outlineLevel="0" collapsed="false">
      <c r="A8" s="33" t="s">
        <v>119</v>
      </c>
      <c r="C8" s="34" t="n">
        <f aca="false">SUM(D8:AZ8)</f>
        <v>26.2868837838092</v>
      </c>
      <c r="D8" s="35" t="n">
        <v>0</v>
      </c>
      <c r="E8" s="35" t="n">
        <f aca="false">SUM(Inputs!$B$28:$D$28)*(Inputs!$B$194/(Inputs!$B$194+Inputs!$B$195+Inputs!$B$196))*Inputs!$B$201*Inputs!$B$5*Inputs!$B$200</f>
        <v>5.25737675676183</v>
      </c>
      <c r="F8" s="35" t="n">
        <f aca="false">SUM(Inputs!$B$28:$D$28)*(Inputs!$B$194/(Inputs!$B$194+Inputs!$B$195+Inputs!$B$196))*Inputs!$B$202*Inputs!$B$5*Inputs!$B$200</f>
        <v>14.457786081095</v>
      </c>
      <c r="G8" s="35" t="n">
        <f aca="false">SUM(Inputs!$B$28:$D$28)*(Inputs!$B$194/(Inputs!$B$194+Inputs!$B$195+Inputs!$B$196))*Inputs!$B$203*Inputs!$B$5*Inputs!$B$200</f>
        <v>6.57172094595229</v>
      </c>
      <c r="H8" s="35" t="n">
        <v>0</v>
      </c>
      <c r="I8" s="35" t="n">
        <v>0</v>
      </c>
      <c r="J8" s="35" t="n">
        <v>0</v>
      </c>
      <c r="K8" s="35" t="n">
        <v>0</v>
      </c>
      <c r="L8" s="35" t="n">
        <v>0</v>
      </c>
      <c r="M8" s="35" t="n">
        <v>0</v>
      </c>
      <c r="N8" s="35" t="n">
        <v>0</v>
      </c>
      <c r="O8" s="35" t="n">
        <v>0</v>
      </c>
      <c r="P8" s="35" t="n">
        <v>0</v>
      </c>
      <c r="Q8" s="35" t="n">
        <v>0</v>
      </c>
      <c r="R8" s="35" t="n">
        <v>0</v>
      </c>
      <c r="S8" s="35" t="n">
        <v>0</v>
      </c>
      <c r="T8" s="35" t="n">
        <v>0</v>
      </c>
      <c r="U8" s="35" t="n">
        <v>0</v>
      </c>
      <c r="V8" s="35" t="n">
        <v>0</v>
      </c>
      <c r="W8" s="35" t="n">
        <v>0</v>
      </c>
      <c r="X8" s="35" t="n">
        <v>0</v>
      </c>
      <c r="Y8" s="35" t="n">
        <v>0</v>
      </c>
      <c r="Z8" s="35" t="n">
        <v>0</v>
      </c>
      <c r="AA8" s="35" t="n">
        <v>0</v>
      </c>
      <c r="AB8" s="35" t="n">
        <v>0</v>
      </c>
      <c r="AC8" s="35" t="n">
        <v>0</v>
      </c>
      <c r="AD8" s="35" t="n">
        <v>0</v>
      </c>
      <c r="AE8" s="35" t="n">
        <v>0</v>
      </c>
      <c r="AF8" s="35" t="n">
        <v>0</v>
      </c>
      <c r="AG8" s="35" t="n">
        <v>0</v>
      </c>
      <c r="AH8" s="35" t="n">
        <v>0</v>
      </c>
      <c r="AI8" s="35" t="n">
        <v>0</v>
      </c>
      <c r="AJ8" s="35" t="n">
        <v>0</v>
      </c>
      <c r="AK8" s="35" t="n">
        <v>0</v>
      </c>
      <c r="AL8" s="35" t="n">
        <v>0</v>
      </c>
      <c r="AM8" s="35" t="n">
        <v>0</v>
      </c>
      <c r="AN8" s="35" t="n">
        <v>0</v>
      </c>
      <c r="AO8" s="35" t="n">
        <v>0</v>
      </c>
      <c r="AP8" s="35" t="n">
        <v>0</v>
      </c>
      <c r="AQ8" s="35" t="n">
        <v>0</v>
      </c>
      <c r="AR8" s="35" t="n">
        <v>0</v>
      </c>
      <c r="AS8" s="35" t="n">
        <v>0</v>
      </c>
      <c r="AT8" s="35" t="n">
        <v>0</v>
      </c>
      <c r="AU8" s="35" t="n">
        <v>0</v>
      </c>
      <c r="AV8" s="35" t="n">
        <v>0</v>
      </c>
      <c r="AW8" s="35" t="n">
        <v>0</v>
      </c>
      <c r="AX8" s="35" t="n">
        <v>0</v>
      </c>
      <c r="AY8" s="35" t="n">
        <v>0</v>
      </c>
      <c r="AZ8" s="35" t="n">
        <v>0</v>
      </c>
    </row>
    <row r="9" customFormat="false" ht="15" hidden="false" customHeight="false" outlineLevel="0" collapsed="false">
      <c r="A9" s="33" t="s">
        <v>120</v>
      </c>
      <c r="C9" s="34" t="n">
        <f aca="false">SUM(D9:AZ9)</f>
        <v>24.4468019189425</v>
      </c>
      <c r="D9" s="35" t="n">
        <v>0</v>
      </c>
      <c r="E9" s="35" t="n">
        <f aca="false">SUM(Inputs!$B$29:$D$29)*(Inputs!$B$194/(Inputs!$B$194+Inputs!$B$195+Inputs!$B$196))*Inputs!$B$201*Inputs!$B$5*Inputs!$B$200</f>
        <v>4.8893603837885</v>
      </c>
      <c r="F9" s="35" t="n">
        <f aca="false">SUM(Inputs!$B$29:$D$29)*(Inputs!$B$194/(Inputs!$B$194+Inputs!$B$195+Inputs!$B$196))*Inputs!$B$202*Inputs!$B$5*Inputs!$B$200</f>
        <v>13.4457410554184</v>
      </c>
      <c r="G9" s="35" t="n">
        <f aca="false">SUM(Inputs!$B$29:$D$29)*(Inputs!$B$194/(Inputs!$B$194+Inputs!$B$195+Inputs!$B$196))*Inputs!$B$203*Inputs!$B$5*Inputs!$B$200</f>
        <v>6.11170047973563</v>
      </c>
      <c r="H9" s="35" t="n">
        <v>0</v>
      </c>
      <c r="I9" s="35" t="n">
        <v>0</v>
      </c>
      <c r="J9" s="35" t="n">
        <v>0</v>
      </c>
      <c r="K9" s="35" t="n">
        <v>0</v>
      </c>
      <c r="L9" s="35" t="n">
        <v>0</v>
      </c>
      <c r="M9" s="35" t="n">
        <v>0</v>
      </c>
      <c r="N9" s="35" t="n">
        <v>0</v>
      </c>
      <c r="O9" s="35" t="n">
        <v>0</v>
      </c>
      <c r="P9" s="35" t="n">
        <v>0</v>
      </c>
      <c r="Q9" s="35" t="n">
        <v>0</v>
      </c>
      <c r="R9" s="35" t="n">
        <v>0</v>
      </c>
      <c r="S9" s="35" t="n">
        <v>0</v>
      </c>
      <c r="T9" s="35" t="n">
        <v>0</v>
      </c>
      <c r="U9" s="35" t="n">
        <v>0</v>
      </c>
      <c r="V9" s="35" t="n">
        <v>0</v>
      </c>
      <c r="W9" s="35" t="n">
        <v>0</v>
      </c>
      <c r="X9" s="35" t="n">
        <v>0</v>
      </c>
      <c r="Y9" s="35" t="n">
        <v>0</v>
      </c>
      <c r="Z9" s="35" t="n">
        <v>0</v>
      </c>
      <c r="AA9" s="35" t="n">
        <v>0</v>
      </c>
      <c r="AB9" s="35" t="n">
        <v>0</v>
      </c>
      <c r="AC9" s="35" t="n">
        <v>0</v>
      </c>
      <c r="AD9" s="35" t="n">
        <v>0</v>
      </c>
      <c r="AE9" s="35" t="n">
        <v>0</v>
      </c>
      <c r="AF9" s="35" t="n">
        <v>0</v>
      </c>
      <c r="AG9" s="35" t="n">
        <v>0</v>
      </c>
      <c r="AH9" s="35" t="n">
        <v>0</v>
      </c>
      <c r="AI9" s="35" t="n">
        <v>0</v>
      </c>
      <c r="AJ9" s="35" t="n">
        <v>0</v>
      </c>
      <c r="AK9" s="35" t="n">
        <v>0</v>
      </c>
      <c r="AL9" s="35" t="n">
        <v>0</v>
      </c>
      <c r="AM9" s="35" t="n">
        <v>0</v>
      </c>
      <c r="AN9" s="35" t="n">
        <v>0</v>
      </c>
      <c r="AO9" s="35" t="n">
        <v>0</v>
      </c>
      <c r="AP9" s="35" t="n">
        <v>0</v>
      </c>
      <c r="AQ9" s="35" t="n">
        <v>0</v>
      </c>
      <c r="AR9" s="35" t="n">
        <v>0</v>
      </c>
      <c r="AS9" s="35" t="n">
        <v>0</v>
      </c>
      <c r="AT9" s="35" t="n">
        <v>0</v>
      </c>
      <c r="AU9" s="35" t="n">
        <v>0</v>
      </c>
      <c r="AV9" s="35" t="n">
        <v>0</v>
      </c>
      <c r="AW9" s="35" t="n">
        <v>0</v>
      </c>
      <c r="AX9" s="35" t="n">
        <v>0</v>
      </c>
      <c r="AY9" s="35" t="n">
        <v>0</v>
      </c>
      <c r="AZ9" s="35" t="n">
        <v>0</v>
      </c>
    </row>
    <row r="10" customFormat="false" ht="15" hidden="false" customHeight="false" outlineLevel="0" collapsed="false">
      <c r="A10" s="33" t="s">
        <v>121</v>
      </c>
      <c r="C10" s="34" t="n">
        <f aca="false">SUM(D10:AZ10)</f>
        <v>35</v>
      </c>
      <c r="D10" s="35" t="n">
        <v>0</v>
      </c>
      <c r="E10" s="35" t="n">
        <f aca="false">(SUM(Inputs!$B$30:$D$30)-Inputs!$B$48)*Inputs!$B$201*Inputs!$B$5*Inputs!$B$200</f>
        <v>7</v>
      </c>
      <c r="F10" s="35" t="n">
        <f aca="false">(SUM(Inputs!$B$30:$D$30)-Inputs!$B$48)*Inputs!$B$202*Inputs!$B$5*Inputs!$B$200</f>
        <v>19.25</v>
      </c>
      <c r="G10" s="35" t="n">
        <f aca="false">(SUM(Inputs!$B$30:$D$30)-Inputs!$B$48)*Inputs!$B$203*Inputs!$B$5*Inputs!$B$200</f>
        <v>8.75</v>
      </c>
      <c r="H10" s="35" t="n">
        <v>0</v>
      </c>
      <c r="I10" s="35" t="n">
        <v>0</v>
      </c>
      <c r="J10" s="35" t="n">
        <v>0</v>
      </c>
      <c r="K10" s="35" t="n">
        <v>0</v>
      </c>
      <c r="L10" s="35" t="n">
        <v>0</v>
      </c>
      <c r="M10" s="35" t="n">
        <v>0</v>
      </c>
      <c r="N10" s="35" t="n">
        <v>0</v>
      </c>
      <c r="O10" s="35" t="n">
        <v>0</v>
      </c>
      <c r="P10" s="35" t="n">
        <v>0</v>
      </c>
      <c r="Q10" s="35" t="n">
        <v>0</v>
      </c>
      <c r="R10" s="35" t="n">
        <v>0</v>
      </c>
      <c r="S10" s="35" t="n">
        <v>0</v>
      </c>
      <c r="T10" s="35" t="n">
        <v>0</v>
      </c>
      <c r="U10" s="35" t="n">
        <v>0</v>
      </c>
      <c r="V10" s="35" t="n">
        <v>0</v>
      </c>
      <c r="W10" s="35" t="n">
        <v>0</v>
      </c>
      <c r="X10" s="35" t="n">
        <v>0</v>
      </c>
      <c r="Y10" s="35" t="n">
        <v>0</v>
      </c>
      <c r="Z10" s="35" t="n">
        <v>0</v>
      </c>
      <c r="AA10" s="35" t="n">
        <v>0</v>
      </c>
      <c r="AB10" s="35" t="n">
        <v>0</v>
      </c>
      <c r="AC10" s="35" t="n">
        <v>0</v>
      </c>
      <c r="AD10" s="35" t="n">
        <v>0</v>
      </c>
      <c r="AE10" s="35" t="n">
        <v>0</v>
      </c>
      <c r="AF10" s="35" t="n">
        <v>0</v>
      </c>
      <c r="AG10" s="35" t="n">
        <v>0</v>
      </c>
      <c r="AH10" s="35" t="n">
        <v>0</v>
      </c>
      <c r="AI10" s="35" t="n">
        <v>0</v>
      </c>
      <c r="AJ10" s="35" t="n">
        <v>0</v>
      </c>
      <c r="AK10" s="35" t="n">
        <v>0</v>
      </c>
      <c r="AL10" s="35" t="n">
        <v>0</v>
      </c>
      <c r="AM10" s="35" t="n">
        <v>0</v>
      </c>
      <c r="AN10" s="35" t="n">
        <v>0</v>
      </c>
      <c r="AO10" s="35" t="n">
        <v>0</v>
      </c>
      <c r="AP10" s="35" t="n">
        <v>0</v>
      </c>
      <c r="AQ10" s="35" t="n">
        <v>0</v>
      </c>
      <c r="AR10" s="35" t="n">
        <v>0</v>
      </c>
      <c r="AS10" s="35" t="n">
        <v>0</v>
      </c>
      <c r="AT10" s="35" t="n">
        <v>0</v>
      </c>
      <c r="AU10" s="35" t="n">
        <v>0</v>
      </c>
      <c r="AV10" s="35" t="n">
        <v>0</v>
      </c>
      <c r="AW10" s="35" t="n">
        <v>0</v>
      </c>
      <c r="AX10" s="35" t="n">
        <v>0</v>
      </c>
      <c r="AY10" s="35" t="n">
        <v>0</v>
      </c>
      <c r="AZ10" s="35" t="n">
        <v>0</v>
      </c>
    </row>
    <row r="11" customFormat="false" ht="15" hidden="false" customHeight="false" outlineLevel="0" collapsed="false">
      <c r="A11" s="33" t="s">
        <v>122</v>
      </c>
      <c r="C11" s="34" t="n">
        <f aca="false">SUM(D11:AZ11)</f>
        <v>0</v>
      </c>
      <c r="D11" s="35" t="n">
        <v>0</v>
      </c>
      <c r="E11" s="35" t="n">
        <v>0</v>
      </c>
      <c r="F11" s="35" t="n">
        <v>0</v>
      </c>
      <c r="G11" s="35" t="n">
        <v>0</v>
      </c>
      <c r="H11" s="35" t="n">
        <v>0</v>
      </c>
      <c r="I11" s="35" t="n">
        <v>0</v>
      </c>
      <c r="J11" s="35" t="n">
        <v>0</v>
      </c>
      <c r="K11" s="35" t="n">
        <v>0</v>
      </c>
      <c r="L11" s="35" t="n">
        <v>0</v>
      </c>
      <c r="M11" s="35" t="n">
        <v>0</v>
      </c>
      <c r="N11" s="35" t="n">
        <v>0</v>
      </c>
      <c r="O11" s="35" t="n">
        <v>0</v>
      </c>
      <c r="P11" s="35" t="n">
        <v>0</v>
      </c>
      <c r="Q11" s="35" t="n">
        <v>0</v>
      </c>
      <c r="R11" s="35" t="n">
        <v>0</v>
      </c>
      <c r="S11" s="35" t="n">
        <v>0</v>
      </c>
      <c r="T11" s="35" t="n">
        <v>0</v>
      </c>
      <c r="U11" s="35" t="n">
        <v>0</v>
      </c>
      <c r="V11" s="35" t="n">
        <v>0</v>
      </c>
      <c r="W11" s="35" t="n">
        <v>0</v>
      </c>
      <c r="X11" s="35" t="n">
        <v>0</v>
      </c>
      <c r="Y11" s="35" t="n">
        <v>0</v>
      </c>
      <c r="Z11" s="35" t="n">
        <v>0</v>
      </c>
      <c r="AA11" s="35" t="n">
        <v>0</v>
      </c>
      <c r="AB11" s="35" t="n">
        <v>0</v>
      </c>
      <c r="AC11" s="35" t="n">
        <v>0</v>
      </c>
      <c r="AD11" s="35" t="n">
        <v>0</v>
      </c>
      <c r="AE11" s="35" t="n">
        <v>0</v>
      </c>
      <c r="AF11" s="35" t="n">
        <v>0</v>
      </c>
      <c r="AG11" s="35" t="n">
        <v>0</v>
      </c>
      <c r="AH11" s="35" t="n">
        <v>0</v>
      </c>
      <c r="AI11" s="35" t="n">
        <v>0</v>
      </c>
      <c r="AJ11" s="35" t="n">
        <v>0</v>
      </c>
      <c r="AK11" s="35" t="n">
        <v>0</v>
      </c>
      <c r="AL11" s="35" t="n">
        <v>0</v>
      </c>
      <c r="AM11" s="35" t="n">
        <v>0</v>
      </c>
      <c r="AN11" s="35" t="n">
        <v>0</v>
      </c>
      <c r="AO11" s="35" t="n">
        <v>0</v>
      </c>
      <c r="AP11" s="35" t="n">
        <v>0</v>
      </c>
      <c r="AQ11" s="35" t="n">
        <v>0</v>
      </c>
      <c r="AR11" s="35" t="n">
        <v>0</v>
      </c>
      <c r="AS11" s="35" t="n">
        <v>0</v>
      </c>
      <c r="AT11" s="35" t="n">
        <v>0</v>
      </c>
      <c r="AU11" s="35" t="n">
        <v>0</v>
      </c>
      <c r="AV11" s="35" t="n">
        <v>0</v>
      </c>
      <c r="AW11" s="35" t="n">
        <v>0</v>
      </c>
      <c r="AX11" s="35" t="n">
        <v>0</v>
      </c>
      <c r="AY11" s="35" t="n">
        <v>0</v>
      </c>
      <c r="AZ11" s="35" t="n">
        <v>0</v>
      </c>
    </row>
    <row r="12" customFormat="false" ht="15" hidden="false" customHeight="false" outlineLevel="0" collapsed="false">
      <c r="A12" s="33" t="s">
        <v>123</v>
      </c>
      <c r="C12" s="34" t="n">
        <f aca="false">SUM(D12:AZ12)</f>
        <v>4.13079602317001</v>
      </c>
      <c r="D12" s="35" t="n">
        <v>0</v>
      </c>
      <c r="E12" s="35" t="n">
        <f aca="false">SUM(Inputs!$B$32:$D$32)*(Inputs!$B$194/(Inputs!$B$194+Inputs!$B$195+Inputs!$B$196))*Inputs!$B$201*Inputs!$B$5*Inputs!$B$200</f>
        <v>0.826159204634002</v>
      </c>
      <c r="F12" s="35" t="n">
        <f aca="false">SUM(Inputs!$B$32:$D$32)*(Inputs!$B$194/(Inputs!$B$194+Inputs!$B$195+Inputs!$B$196))*Inputs!$B$202*Inputs!$B$5*Inputs!$B$200</f>
        <v>2.27193781274351</v>
      </c>
      <c r="G12" s="35" t="n">
        <f aca="false">SUM(Inputs!$B$32:$D$32)*(Inputs!$B$194/(Inputs!$B$194+Inputs!$B$195+Inputs!$B$196))*Inputs!$B$203*Inputs!$B$5*Inputs!$B$200</f>
        <v>1.0326990057925</v>
      </c>
      <c r="H12" s="35" t="n">
        <v>0</v>
      </c>
      <c r="I12" s="35" t="n">
        <v>0</v>
      </c>
      <c r="J12" s="35" t="n">
        <v>0</v>
      </c>
      <c r="K12" s="35" t="n">
        <v>0</v>
      </c>
      <c r="L12" s="35" t="n">
        <v>0</v>
      </c>
      <c r="M12" s="35" t="n">
        <v>0</v>
      </c>
      <c r="N12" s="35" t="n">
        <v>0</v>
      </c>
      <c r="O12" s="35" t="n">
        <v>0</v>
      </c>
      <c r="P12" s="35" t="n">
        <v>0</v>
      </c>
      <c r="Q12" s="35" t="n">
        <v>0</v>
      </c>
      <c r="R12" s="35" t="n">
        <v>0</v>
      </c>
      <c r="S12" s="35" t="n">
        <v>0</v>
      </c>
      <c r="T12" s="35" t="n">
        <v>0</v>
      </c>
      <c r="U12" s="35" t="n">
        <v>0</v>
      </c>
      <c r="V12" s="35" t="n">
        <v>0</v>
      </c>
      <c r="W12" s="35" t="n">
        <v>0</v>
      </c>
      <c r="X12" s="35" t="n">
        <v>0</v>
      </c>
      <c r="Y12" s="35" t="n">
        <v>0</v>
      </c>
      <c r="Z12" s="35" t="n">
        <v>0</v>
      </c>
      <c r="AA12" s="35" t="n">
        <v>0</v>
      </c>
      <c r="AB12" s="35" t="n">
        <v>0</v>
      </c>
      <c r="AC12" s="35" t="n">
        <v>0</v>
      </c>
      <c r="AD12" s="35" t="n">
        <v>0</v>
      </c>
      <c r="AE12" s="35" t="n">
        <v>0</v>
      </c>
      <c r="AF12" s="35" t="n">
        <v>0</v>
      </c>
      <c r="AG12" s="35" t="n">
        <v>0</v>
      </c>
      <c r="AH12" s="35" t="n">
        <v>0</v>
      </c>
      <c r="AI12" s="35" t="n">
        <v>0</v>
      </c>
      <c r="AJ12" s="35" t="n">
        <v>0</v>
      </c>
      <c r="AK12" s="35" t="n">
        <v>0</v>
      </c>
      <c r="AL12" s="35" t="n">
        <v>0</v>
      </c>
      <c r="AM12" s="35" t="n">
        <v>0</v>
      </c>
      <c r="AN12" s="35" t="n">
        <v>0</v>
      </c>
      <c r="AO12" s="35" t="n">
        <v>0</v>
      </c>
      <c r="AP12" s="35" t="n">
        <v>0</v>
      </c>
      <c r="AQ12" s="35" t="n">
        <v>0</v>
      </c>
      <c r="AR12" s="35" t="n">
        <v>0</v>
      </c>
      <c r="AS12" s="35" t="n">
        <v>0</v>
      </c>
      <c r="AT12" s="35" t="n">
        <v>0</v>
      </c>
      <c r="AU12" s="35" t="n">
        <v>0</v>
      </c>
      <c r="AV12" s="35" t="n">
        <v>0</v>
      </c>
      <c r="AW12" s="35" t="n">
        <v>0</v>
      </c>
      <c r="AX12" s="35" t="n">
        <v>0</v>
      </c>
      <c r="AY12" s="35" t="n">
        <v>0</v>
      </c>
      <c r="AZ12" s="35" t="n">
        <v>0</v>
      </c>
    </row>
    <row r="13" customFormat="false" ht="15" hidden="false" customHeight="false" outlineLevel="0" collapsed="false">
      <c r="A13" s="33" t="s">
        <v>124</v>
      </c>
      <c r="C13" s="34" t="n">
        <f aca="false">SUM(D13:AZ13)</f>
        <v>1.50210764478909</v>
      </c>
      <c r="D13" s="35" t="n">
        <v>0</v>
      </c>
      <c r="E13" s="35" t="n">
        <f aca="false">SUM(Inputs!$B$33:$D$33)*(Inputs!$B$194/(Inputs!$B$194+Inputs!$B$195+Inputs!$B$196))*Inputs!$B$201*Inputs!$B$5*Inputs!$B$200</f>
        <v>0.300421528957819</v>
      </c>
      <c r="F13" s="35" t="n">
        <f aca="false">SUM(Inputs!$B$33:$D$33)*(Inputs!$B$194/(Inputs!$B$194+Inputs!$B$195+Inputs!$B$196))*Inputs!$B$202*Inputs!$B$5*Inputs!$B$200</f>
        <v>0.826159204634002</v>
      </c>
      <c r="G13" s="35" t="n">
        <f aca="false">SUM(Inputs!$B$33:$D$33)*(Inputs!$B$194/(Inputs!$B$194+Inputs!$B$195+Inputs!$B$196))*Inputs!$B$203*Inputs!$B$5*Inputs!$B$200</f>
        <v>0.375526911197274</v>
      </c>
      <c r="H13" s="35" t="n">
        <v>0</v>
      </c>
      <c r="I13" s="35" t="n">
        <v>0</v>
      </c>
      <c r="J13" s="35" t="n">
        <v>0</v>
      </c>
      <c r="K13" s="35" t="n">
        <v>0</v>
      </c>
      <c r="L13" s="35" t="n">
        <v>0</v>
      </c>
      <c r="M13" s="35" t="n">
        <v>0</v>
      </c>
      <c r="N13" s="35" t="n">
        <v>0</v>
      </c>
      <c r="O13" s="35" t="n">
        <v>0</v>
      </c>
      <c r="P13" s="35" t="n">
        <v>0</v>
      </c>
      <c r="Q13" s="35" t="n">
        <v>0</v>
      </c>
      <c r="R13" s="35" t="n">
        <v>0</v>
      </c>
      <c r="S13" s="35" t="n">
        <v>0</v>
      </c>
      <c r="T13" s="35" t="n">
        <v>0</v>
      </c>
      <c r="U13" s="35" t="n">
        <v>0</v>
      </c>
      <c r="V13" s="35" t="n">
        <v>0</v>
      </c>
      <c r="W13" s="35" t="n">
        <v>0</v>
      </c>
      <c r="X13" s="35" t="n">
        <v>0</v>
      </c>
      <c r="Y13" s="35" t="n">
        <v>0</v>
      </c>
      <c r="Z13" s="35" t="n">
        <v>0</v>
      </c>
      <c r="AA13" s="35" t="n">
        <v>0</v>
      </c>
      <c r="AB13" s="35" t="n">
        <v>0</v>
      </c>
      <c r="AC13" s="35" t="n">
        <v>0</v>
      </c>
      <c r="AD13" s="35" t="n">
        <v>0</v>
      </c>
      <c r="AE13" s="35" t="n">
        <v>0</v>
      </c>
      <c r="AF13" s="35" t="n">
        <v>0</v>
      </c>
      <c r="AG13" s="35" t="n">
        <v>0</v>
      </c>
      <c r="AH13" s="35" t="n">
        <v>0</v>
      </c>
      <c r="AI13" s="35" t="n">
        <v>0</v>
      </c>
      <c r="AJ13" s="35" t="n">
        <v>0</v>
      </c>
      <c r="AK13" s="35" t="n">
        <v>0</v>
      </c>
      <c r="AL13" s="35" t="n">
        <v>0</v>
      </c>
      <c r="AM13" s="35" t="n">
        <v>0</v>
      </c>
      <c r="AN13" s="35" t="n">
        <v>0</v>
      </c>
      <c r="AO13" s="35" t="n">
        <v>0</v>
      </c>
      <c r="AP13" s="35" t="n">
        <v>0</v>
      </c>
      <c r="AQ13" s="35" t="n">
        <v>0</v>
      </c>
      <c r="AR13" s="35" t="n">
        <v>0</v>
      </c>
      <c r="AS13" s="35" t="n">
        <v>0</v>
      </c>
      <c r="AT13" s="35" t="n">
        <v>0</v>
      </c>
      <c r="AU13" s="35" t="n">
        <v>0</v>
      </c>
      <c r="AV13" s="35" t="n">
        <v>0</v>
      </c>
      <c r="AW13" s="35" t="n">
        <v>0</v>
      </c>
      <c r="AX13" s="35" t="n">
        <v>0</v>
      </c>
      <c r="AY13" s="35" t="n">
        <v>0</v>
      </c>
      <c r="AZ13" s="35" t="n">
        <v>0</v>
      </c>
    </row>
    <row r="14" customFormat="false" ht="15" hidden="false" customHeight="false" outlineLevel="0" collapsed="false">
      <c r="A14" s="33" t="s">
        <v>125</v>
      </c>
      <c r="C14" s="34" t="n">
        <f aca="false">SUM(D14:AZ14)</f>
        <v>5.63290366795911</v>
      </c>
      <c r="D14" s="35" t="n">
        <v>0</v>
      </c>
      <c r="E14" s="35" t="n">
        <f aca="false">SUM(Inputs!$B$34:$D$34)*(Inputs!$B$194/(Inputs!$B$194+Inputs!$B$195+Inputs!$B$196))*Inputs!$B$201*Inputs!$B$5*Inputs!$B$200</f>
        <v>1.12658073359182</v>
      </c>
      <c r="F14" s="35" t="n">
        <f aca="false">SUM(Inputs!$B$34:$D$34)*(Inputs!$B$194/(Inputs!$B$194+Inputs!$B$195+Inputs!$B$196))*Inputs!$B$202*Inputs!$B$5*Inputs!$B$200</f>
        <v>3.09809701737751</v>
      </c>
      <c r="G14" s="35" t="n">
        <f aca="false">SUM(Inputs!$B$34:$D$34)*(Inputs!$B$194/(Inputs!$B$194+Inputs!$B$195+Inputs!$B$196))*Inputs!$B$203*Inputs!$B$5*Inputs!$B$200</f>
        <v>1.40822591698978</v>
      </c>
      <c r="H14" s="35" t="n">
        <v>0</v>
      </c>
      <c r="I14" s="35" t="n">
        <v>0</v>
      </c>
      <c r="J14" s="35" t="n">
        <v>0</v>
      </c>
      <c r="K14" s="35" t="n">
        <v>0</v>
      </c>
      <c r="L14" s="35" t="n">
        <v>0</v>
      </c>
      <c r="M14" s="35" t="n">
        <v>0</v>
      </c>
      <c r="N14" s="35" t="n">
        <v>0</v>
      </c>
      <c r="O14" s="35" t="n">
        <v>0</v>
      </c>
      <c r="P14" s="35" t="n">
        <v>0</v>
      </c>
      <c r="Q14" s="35" t="n">
        <v>0</v>
      </c>
      <c r="R14" s="35" t="n">
        <v>0</v>
      </c>
      <c r="S14" s="35" t="n">
        <v>0</v>
      </c>
      <c r="T14" s="35" t="n">
        <v>0</v>
      </c>
      <c r="U14" s="35" t="n">
        <v>0</v>
      </c>
      <c r="V14" s="35" t="n">
        <v>0</v>
      </c>
      <c r="W14" s="35" t="n">
        <v>0</v>
      </c>
      <c r="X14" s="35" t="n">
        <v>0</v>
      </c>
      <c r="Y14" s="35" t="n">
        <v>0</v>
      </c>
      <c r="Z14" s="35" t="n">
        <v>0</v>
      </c>
      <c r="AA14" s="35" t="n">
        <v>0</v>
      </c>
      <c r="AB14" s="35" t="n">
        <v>0</v>
      </c>
      <c r="AC14" s="35" t="n">
        <v>0</v>
      </c>
      <c r="AD14" s="35" t="n">
        <v>0</v>
      </c>
      <c r="AE14" s="35" t="n">
        <v>0</v>
      </c>
      <c r="AF14" s="35" t="n">
        <v>0</v>
      </c>
      <c r="AG14" s="35" t="n">
        <v>0</v>
      </c>
      <c r="AH14" s="35" t="n">
        <v>0</v>
      </c>
      <c r="AI14" s="35" t="n">
        <v>0</v>
      </c>
      <c r="AJ14" s="35" t="n">
        <v>0</v>
      </c>
      <c r="AK14" s="35" t="n">
        <v>0</v>
      </c>
      <c r="AL14" s="35" t="n">
        <v>0</v>
      </c>
      <c r="AM14" s="35" t="n">
        <v>0</v>
      </c>
      <c r="AN14" s="35" t="n">
        <v>0</v>
      </c>
      <c r="AO14" s="35" t="n">
        <v>0</v>
      </c>
      <c r="AP14" s="35" t="n">
        <v>0</v>
      </c>
      <c r="AQ14" s="35" t="n">
        <v>0</v>
      </c>
      <c r="AR14" s="35" t="n">
        <v>0</v>
      </c>
      <c r="AS14" s="35" t="n">
        <v>0</v>
      </c>
      <c r="AT14" s="35" t="n">
        <v>0</v>
      </c>
      <c r="AU14" s="35" t="n">
        <v>0</v>
      </c>
      <c r="AV14" s="35" t="n">
        <v>0</v>
      </c>
      <c r="AW14" s="35" t="n">
        <v>0</v>
      </c>
      <c r="AX14" s="35" t="n">
        <v>0</v>
      </c>
      <c r="AY14" s="35" t="n">
        <v>0</v>
      </c>
      <c r="AZ14" s="35" t="n">
        <v>0</v>
      </c>
    </row>
    <row r="15" customFormat="false" ht="15" hidden="false" customHeight="false" outlineLevel="0" collapsed="false">
      <c r="A15" s="33" t="s">
        <v>126</v>
      </c>
      <c r="C15" s="34" t="n">
        <f aca="false">SUM(D15:AZ15)</f>
        <v>3.00421528957819</v>
      </c>
      <c r="D15" s="35" t="n">
        <v>0</v>
      </c>
      <c r="E15" s="35" t="n">
        <f aca="false">SUM(Inputs!$B$35:$D$35)*(Inputs!$B$194/(Inputs!$B$194+Inputs!$B$195+Inputs!$B$196))*Inputs!$B$201*Inputs!$B$5*Inputs!$B$200</f>
        <v>0.600843057915638</v>
      </c>
      <c r="F15" s="35" t="n">
        <f aca="false">SUM(Inputs!$B$35:$D$35)*(Inputs!$B$194/(Inputs!$B$194+Inputs!$B$195+Inputs!$B$196))*Inputs!$B$202*Inputs!$B$5*Inputs!$B$200</f>
        <v>1.652318409268</v>
      </c>
      <c r="G15" s="35" t="n">
        <f aca="false">SUM(Inputs!$B$35:$D$35)*(Inputs!$B$194/(Inputs!$B$194+Inputs!$B$195+Inputs!$B$196))*Inputs!$B$203*Inputs!$B$5*Inputs!$B$200</f>
        <v>0.751053822394547</v>
      </c>
      <c r="H15" s="35" t="n">
        <v>0</v>
      </c>
      <c r="I15" s="35" t="n">
        <v>0</v>
      </c>
      <c r="J15" s="35" t="n">
        <v>0</v>
      </c>
      <c r="K15" s="35" t="n">
        <v>0</v>
      </c>
      <c r="L15" s="35" t="n">
        <v>0</v>
      </c>
      <c r="M15" s="35" t="n">
        <v>0</v>
      </c>
      <c r="N15" s="35" t="n">
        <v>0</v>
      </c>
      <c r="O15" s="35" t="n">
        <v>0</v>
      </c>
      <c r="P15" s="35" t="n">
        <v>0</v>
      </c>
      <c r="Q15" s="35" t="n">
        <v>0</v>
      </c>
      <c r="R15" s="35" t="n">
        <v>0</v>
      </c>
      <c r="S15" s="35" t="n">
        <v>0</v>
      </c>
      <c r="T15" s="35" t="n">
        <v>0</v>
      </c>
      <c r="U15" s="35" t="n">
        <v>0</v>
      </c>
      <c r="V15" s="35" t="n">
        <v>0</v>
      </c>
      <c r="W15" s="35" t="n">
        <v>0</v>
      </c>
      <c r="X15" s="35" t="n">
        <v>0</v>
      </c>
      <c r="Y15" s="35" t="n">
        <v>0</v>
      </c>
      <c r="Z15" s="35" t="n">
        <v>0</v>
      </c>
      <c r="AA15" s="35" t="n">
        <v>0</v>
      </c>
      <c r="AB15" s="35" t="n">
        <v>0</v>
      </c>
      <c r="AC15" s="35" t="n">
        <v>0</v>
      </c>
      <c r="AD15" s="35" t="n">
        <v>0</v>
      </c>
      <c r="AE15" s="35" t="n">
        <v>0</v>
      </c>
      <c r="AF15" s="35" t="n">
        <v>0</v>
      </c>
      <c r="AG15" s="35" t="n">
        <v>0</v>
      </c>
      <c r="AH15" s="35" t="n">
        <v>0</v>
      </c>
      <c r="AI15" s="35" t="n">
        <v>0</v>
      </c>
      <c r="AJ15" s="35" t="n">
        <v>0</v>
      </c>
      <c r="AK15" s="35" t="n">
        <v>0</v>
      </c>
      <c r="AL15" s="35" t="n">
        <v>0</v>
      </c>
      <c r="AM15" s="35" t="n">
        <v>0</v>
      </c>
      <c r="AN15" s="35" t="n">
        <v>0</v>
      </c>
      <c r="AO15" s="35" t="n">
        <v>0</v>
      </c>
      <c r="AP15" s="35" t="n">
        <v>0</v>
      </c>
      <c r="AQ15" s="35" t="n">
        <v>0</v>
      </c>
      <c r="AR15" s="35" t="n">
        <v>0</v>
      </c>
      <c r="AS15" s="35" t="n">
        <v>0</v>
      </c>
      <c r="AT15" s="35" t="n">
        <v>0</v>
      </c>
      <c r="AU15" s="35" t="n">
        <v>0</v>
      </c>
      <c r="AV15" s="35" t="n">
        <v>0</v>
      </c>
      <c r="AW15" s="35" t="n">
        <v>0</v>
      </c>
      <c r="AX15" s="35" t="n">
        <v>0</v>
      </c>
      <c r="AY15" s="35" t="n">
        <v>0</v>
      </c>
      <c r="AZ15" s="35" t="n">
        <v>0</v>
      </c>
    </row>
    <row r="16" customFormat="false" ht="15" hidden="false" customHeight="false" outlineLevel="0" collapsed="false">
      <c r="A16" s="33" t="s">
        <v>127</v>
      </c>
      <c r="C16" s="34" t="n">
        <f aca="false">SUM(D16:AZ16)</f>
        <v>1.87763455598637</v>
      </c>
      <c r="D16" s="35" t="n">
        <v>0</v>
      </c>
      <c r="E16" s="35" t="n">
        <f aca="false">SUM(Inputs!$B$36:$D$36)*(Inputs!$B$194/(Inputs!$B$194+Inputs!$B$195+Inputs!$B$196))*Inputs!$B$201*Inputs!$B$5*Inputs!$B$200</f>
        <v>0.375526911197274</v>
      </c>
      <c r="F16" s="35" t="n">
        <f aca="false">SUM(Inputs!$B$36:$D$36)*(Inputs!$B$194/(Inputs!$B$194+Inputs!$B$195+Inputs!$B$196))*Inputs!$B$202*Inputs!$B$5*Inputs!$B$200</f>
        <v>1.0326990057925</v>
      </c>
      <c r="G16" s="35" t="n">
        <f aca="false">SUM(Inputs!$B$36:$D$36)*(Inputs!$B$194/(Inputs!$B$194+Inputs!$B$195+Inputs!$B$196))*Inputs!$B$203*Inputs!$B$5*Inputs!$B$200</f>
        <v>0.469408638996592</v>
      </c>
      <c r="H16" s="35" t="n">
        <v>0</v>
      </c>
      <c r="I16" s="35" t="n">
        <v>0</v>
      </c>
      <c r="J16" s="35" t="n">
        <v>0</v>
      </c>
      <c r="K16" s="35" t="n">
        <v>0</v>
      </c>
      <c r="L16" s="35" t="n">
        <v>0</v>
      </c>
      <c r="M16" s="35" t="n">
        <v>0</v>
      </c>
      <c r="N16" s="35" t="n">
        <v>0</v>
      </c>
      <c r="O16" s="35" t="n">
        <v>0</v>
      </c>
      <c r="P16" s="35" t="n">
        <v>0</v>
      </c>
      <c r="Q16" s="35" t="n">
        <v>0</v>
      </c>
      <c r="R16" s="35" t="n">
        <v>0</v>
      </c>
      <c r="S16" s="35" t="n">
        <v>0</v>
      </c>
      <c r="T16" s="35" t="n">
        <v>0</v>
      </c>
      <c r="U16" s="35" t="n">
        <v>0</v>
      </c>
      <c r="V16" s="35" t="n">
        <v>0</v>
      </c>
      <c r="W16" s="35" t="n">
        <v>0</v>
      </c>
      <c r="X16" s="35" t="n">
        <v>0</v>
      </c>
      <c r="Y16" s="35" t="n">
        <v>0</v>
      </c>
      <c r="Z16" s="35" t="n">
        <v>0</v>
      </c>
      <c r="AA16" s="35" t="n">
        <v>0</v>
      </c>
      <c r="AB16" s="35" t="n">
        <v>0</v>
      </c>
      <c r="AC16" s="35" t="n">
        <v>0</v>
      </c>
      <c r="AD16" s="35" t="n">
        <v>0</v>
      </c>
      <c r="AE16" s="35" t="n">
        <v>0</v>
      </c>
      <c r="AF16" s="35" t="n">
        <v>0</v>
      </c>
      <c r="AG16" s="35" t="n">
        <v>0</v>
      </c>
      <c r="AH16" s="35" t="n">
        <v>0</v>
      </c>
      <c r="AI16" s="35" t="n">
        <v>0</v>
      </c>
      <c r="AJ16" s="35" t="n">
        <v>0</v>
      </c>
      <c r="AK16" s="35" t="n">
        <v>0</v>
      </c>
      <c r="AL16" s="35" t="n">
        <v>0</v>
      </c>
      <c r="AM16" s="35" t="n">
        <v>0</v>
      </c>
      <c r="AN16" s="35" t="n">
        <v>0</v>
      </c>
      <c r="AO16" s="35" t="n">
        <v>0</v>
      </c>
      <c r="AP16" s="35" t="n">
        <v>0</v>
      </c>
      <c r="AQ16" s="35" t="n">
        <v>0</v>
      </c>
      <c r="AR16" s="35" t="n">
        <v>0</v>
      </c>
      <c r="AS16" s="35" t="n">
        <v>0</v>
      </c>
      <c r="AT16" s="35" t="n">
        <v>0</v>
      </c>
      <c r="AU16" s="35" t="n">
        <v>0</v>
      </c>
      <c r="AV16" s="35" t="n">
        <v>0</v>
      </c>
      <c r="AW16" s="35" t="n">
        <v>0</v>
      </c>
      <c r="AX16" s="35" t="n">
        <v>0</v>
      </c>
      <c r="AY16" s="35" t="n">
        <v>0</v>
      </c>
      <c r="AZ16" s="35" t="n">
        <v>0</v>
      </c>
    </row>
    <row r="17" customFormat="false" ht="15" hidden="false" customHeight="false" outlineLevel="0" collapsed="false">
      <c r="A17" s="33" t="s">
        <v>128</v>
      </c>
      <c r="C17" s="34" t="n">
        <f aca="false">SUM(D17:AZ17)</f>
        <v>2.62868837838092</v>
      </c>
      <c r="D17" s="35" t="n">
        <v>0</v>
      </c>
      <c r="E17" s="35" t="n">
        <f aca="false">SUM(Inputs!$B$37:$D$37)*(Inputs!$B$194/(Inputs!$B$194+Inputs!$B$195+Inputs!$B$196))*Inputs!$B$201*Inputs!$B$5*Inputs!$B$200</f>
        <v>0.525737675676183</v>
      </c>
      <c r="F17" s="35" t="n">
        <f aca="false">SUM(Inputs!$B$37:$D$37)*(Inputs!$B$194/(Inputs!$B$194+Inputs!$B$195+Inputs!$B$196))*Inputs!$B$202*Inputs!$B$5*Inputs!$B$200</f>
        <v>1.4457786081095</v>
      </c>
      <c r="G17" s="35" t="n">
        <f aca="false">SUM(Inputs!$B$37:$D$37)*(Inputs!$B$194/(Inputs!$B$194+Inputs!$B$195+Inputs!$B$196))*Inputs!$B$203*Inputs!$B$5*Inputs!$B$200</f>
        <v>0.657172094595229</v>
      </c>
      <c r="H17" s="35" t="n">
        <v>0</v>
      </c>
      <c r="I17" s="35" t="n">
        <v>0</v>
      </c>
      <c r="J17" s="35" t="n">
        <v>0</v>
      </c>
      <c r="K17" s="35" t="n">
        <v>0</v>
      </c>
      <c r="L17" s="35" t="n">
        <v>0</v>
      </c>
      <c r="M17" s="35" t="n">
        <v>0</v>
      </c>
      <c r="N17" s="35" t="n">
        <v>0</v>
      </c>
      <c r="O17" s="35" t="n">
        <v>0</v>
      </c>
      <c r="P17" s="35" t="n">
        <v>0</v>
      </c>
      <c r="Q17" s="35" t="n">
        <v>0</v>
      </c>
      <c r="R17" s="35" t="n">
        <v>0</v>
      </c>
      <c r="S17" s="35" t="n">
        <v>0</v>
      </c>
      <c r="T17" s="35" t="n">
        <v>0</v>
      </c>
      <c r="U17" s="35" t="n">
        <v>0</v>
      </c>
      <c r="V17" s="35" t="n">
        <v>0</v>
      </c>
      <c r="W17" s="35" t="n">
        <v>0</v>
      </c>
      <c r="X17" s="35" t="n">
        <v>0</v>
      </c>
      <c r="Y17" s="35" t="n">
        <v>0</v>
      </c>
      <c r="Z17" s="35" t="n">
        <v>0</v>
      </c>
      <c r="AA17" s="35" t="n">
        <v>0</v>
      </c>
      <c r="AB17" s="35" t="n">
        <v>0</v>
      </c>
      <c r="AC17" s="35" t="n">
        <v>0</v>
      </c>
      <c r="AD17" s="35" t="n">
        <v>0</v>
      </c>
      <c r="AE17" s="35" t="n">
        <v>0</v>
      </c>
      <c r="AF17" s="35" t="n">
        <v>0</v>
      </c>
      <c r="AG17" s="35" t="n">
        <v>0</v>
      </c>
      <c r="AH17" s="35" t="n">
        <v>0</v>
      </c>
      <c r="AI17" s="35" t="n">
        <v>0</v>
      </c>
      <c r="AJ17" s="35" t="n">
        <v>0</v>
      </c>
      <c r="AK17" s="35" t="n">
        <v>0</v>
      </c>
      <c r="AL17" s="35" t="n">
        <v>0</v>
      </c>
      <c r="AM17" s="35" t="n">
        <v>0</v>
      </c>
      <c r="AN17" s="35" t="n">
        <v>0</v>
      </c>
      <c r="AO17" s="35" t="n">
        <v>0</v>
      </c>
      <c r="AP17" s="35" t="n">
        <v>0</v>
      </c>
      <c r="AQ17" s="35" t="n">
        <v>0</v>
      </c>
      <c r="AR17" s="35" t="n">
        <v>0</v>
      </c>
      <c r="AS17" s="35" t="n">
        <v>0</v>
      </c>
      <c r="AT17" s="35" t="n">
        <v>0</v>
      </c>
      <c r="AU17" s="35" t="n">
        <v>0</v>
      </c>
      <c r="AV17" s="35" t="n">
        <v>0</v>
      </c>
      <c r="AW17" s="35" t="n">
        <v>0</v>
      </c>
      <c r="AX17" s="35" t="n">
        <v>0</v>
      </c>
      <c r="AY17" s="35" t="n">
        <v>0</v>
      </c>
      <c r="AZ17" s="35" t="n">
        <v>0</v>
      </c>
    </row>
    <row r="18" customFormat="false" ht="15" hidden="false" customHeight="false" outlineLevel="0" collapsed="false">
      <c r="A18" s="33" t="s">
        <v>129</v>
      </c>
      <c r="C18" s="34" t="n">
        <f aca="false">SUM(D18:AZ18)</f>
        <v>1.87763455598637</v>
      </c>
      <c r="D18" s="35" t="n">
        <v>0</v>
      </c>
      <c r="E18" s="35" t="n">
        <f aca="false">SUM(Inputs!$B$38:$D$38)*(Inputs!$B$194/(Inputs!$B$194+Inputs!$B$195+Inputs!$B$196))*Inputs!$B$201*Inputs!$B$5*Inputs!$B$200</f>
        <v>0.375526911197274</v>
      </c>
      <c r="F18" s="35" t="n">
        <f aca="false">SUM(Inputs!$B$38:$D$38)*(Inputs!$B$194/(Inputs!$B$194+Inputs!$B$195+Inputs!$B$196))*Inputs!$B$202*Inputs!$B$5*Inputs!$B$200</f>
        <v>1.0326990057925</v>
      </c>
      <c r="G18" s="35" t="n">
        <f aca="false">SUM(Inputs!$B$38:$D$38)*(Inputs!$B$194/(Inputs!$B$194+Inputs!$B$195+Inputs!$B$196))*Inputs!$B$203*Inputs!$B$5*Inputs!$B$200</f>
        <v>0.469408638996592</v>
      </c>
      <c r="H18" s="35" t="n">
        <v>0</v>
      </c>
      <c r="I18" s="35" t="n">
        <v>0</v>
      </c>
      <c r="J18" s="35" t="n">
        <v>0</v>
      </c>
      <c r="K18" s="35" t="n">
        <v>0</v>
      </c>
      <c r="L18" s="35" t="n">
        <v>0</v>
      </c>
      <c r="M18" s="35" t="n">
        <v>0</v>
      </c>
      <c r="N18" s="35" t="n">
        <v>0</v>
      </c>
      <c r="O18" s="35" t="n">
        <v>0</v>
      </c>
      <c r="P18" s="35" t="n">
        <v>0</v>
      </c>
      <c r="Q18" s="35" t="n">
        <v>0</v>
      </c>
      <c r="R18" s="35" t="n">
        <v>0</v>
      </c>
      <c r="S18" s="35" t="n">
        <v>0</v>
      </c>
      <c r="T18" s="35" t="n">
        <v>0</v>
      </c>
      <c r="U18" s="35" t="n">
        <v>0</v>
      </c>
      <c r="V18" s="35" t="n">
        <v>0</v>
      </c>
      <c r="W18" s="35" t="n">
        <v>0</v>
      </c>
      <c r="X18" s="35" t="n">
        <v>0</v>
      </c>
      <c r="Y18" s="35" t="n">
        <v>0</v>
      </c>
      <c r="Z18" s="35" t="n">
        <v>0</v>
      </c>
      <c r="AA18" s="35" t="n">
        <v>0</v>
      </c>
      <c r="AB18" s="35" t="n">
        <v>0</v>
      </c>
      <c r="AC18" s="35" t="n">
        <v>0</v>
      </c>
      <c r="AD18" s="35" t="n">
        <v>0</v>
      </c>
      <c r="AE18" s="35" t="n">
        <v>0</v>
      </c>
      <c r="AF18" s="35" t="n">
        <v>0</v>
      </c>
      <c r="AG18" s="35" t="n">
        <v>0</v>
      </c>
      <c r="AH18" s="35" t="n">
        <v>0</v>
      </c>
      <c r="AI18" s="35" t="n">
        <v>0</v>
      </c>
      <c r="AJ18" s="35" t="n">
        <v>0</v>
      </c>
      <c r="AK18" s="35" t="n">
        <v>0</v>
      </c>
      <c r="AL18" s="35" t="n">
        <v>0</v>
      </c>
      <c r="AM18" s="35" t="n">
        <v>0</v>
      </c>
      <c r="AN18" s="35" t="n">
        <v>0</v>
      </c>
      <c r="AO18" s="35" t="n">
        <v>0</v>
      </c>
      <c r="AP18" s="35" t="n">
        <v>0</v>
      </c>
      <c r="AQ18" s="35" t="n">
        <v>0</v>
      </c>
      <c r="AR18" s="35" t="n">
        <v>0</v>
      </c>
      <c r="AS18" s="35" t="n">
        <v>0</v>
      </c>
      <c r="AT18" s="35" t="n">
        <v>0</v>
      </c>
      <c r="AU18" s="35" t="n">
        <v>0</v>
      </c>
      <c r="AV18" s="35" t="n">
        <v>0</v>
      </c>
      <c r="AW18" s="35" t="n">
        <v>0</v>
      </c>
      <c r="AX18" s="35" t="n">
        <v>0</v>
      </c>
      <c r="AY18" s="35" t="n">
        <v>0</v>
      </c>
      <c r="AZ18" s="35" t="n">
        <v>0</v>
      </c>
    </row>
    <row r="19" customFormat="false" ht="15" hidden="false" customHeight="false" outlineLevel="0" collapsed="false">
      <c r="A19" s="3" t="s">
        <v>130</v>
      </c>
      <c r="C19" s="36" t="n">
        <f aca="false">SUM(D19:AZ19)</f>
        <v>185.248317170029</v>
      </c>
      <c r="D19" s="36" t="n">
        <f aca="false">SUM(D6:D13)</f>
        <v>0</v>
      </c>
      <c r="E19" s="36" t="n">
        <f aca="false">SUM(E6:E13)</f>
        <v>37.0496634340058</v>
      </c>
      <c r="F19" s="36" t="n">
        <f aca="false">SUM(F6:F13)</f>
        <v>101.886574443516</v>
      </c>
      <c r="G19" s="36" t="n">
        <f aca="false">SUM(G6:G13)</f>
        <v>46.3120792925073</v>
      </c>
      <c r="H19" s="36" t="n">
        <f aca="false">SUM(H6:H13)</f>
        <v>0</v>
      </c>
      <c r="I19" s="36" t="n">
        <f aca="false">SUM(I6:I13)</f>
        <v>0</v>
      </c>
      <c r="J19" s="36" t="n">
        <f aca="false">SUM(J6:J13)</f>
        <v>0</v>
      </c>
      <c r="K19" s="36" t="n">
        <f aca="false">SUM(K6:K13)</f>
        <v>0</v>
      </c>
      <c r="L19" s="36" t="n">
        <f aca="false">SUM(L6:L13)</f>
        <v>0</v>
      </c>
      <c r="M19" s="36" t="n">
        <f aca="false">SUM(M6:M13)</f>
        <v>0</v>
      </c>
      <c r="N19" s="36" t="n">
        <f aca="false">SUM(N6:N13)</f>
        <v>0</v>
      </c>
      <c r="O19" s="36" t="n">
        <f aca="false">SUM(O6:O13)</f>
        <v>0</v>
      </c>
      <c r="P19" s="36" t="n">
        <f aca="false">SUM(P6:P13)</f>
        <v>0</v>
      </c>
      <c r="Q19" s="36" t="n">
        <f aca="false">SUM(Q6:Q13)</f>
        <v>0</v>
      </c>
      <c r="R19" s="36" t="n">
        <f aca="false">SUM(R6:R13)</f>
        <v>0</v>
      </c>
      <c r="S19" s="36" t="n">
        <f aca="false">SUM(S6:S13)</f>
        <v>0</v>
      </c>
      <c r="T19" s="36" t="n">
        <f aca="false">SUM(T6:T13)</f>
        <v>0</v>
      </c>
      <c r="U19" s="36" t="n">
        <f aca="false">SUM(U6:U13)</f>
        <v>0</v>
      </c>
      <c r="V19" s="36" t="n">
        <f aca="false">SUM(V6:V13)</f>
        <v>0</v>
      </c>
      <c r="W19" s="36" t="n">
        <f aca="false">SUM(W6:W13)</f>
        <v>0</v>
      </c>
      <c r="X19" s="36" t="n">
        <f aca="false">SUM(X6:X13)</f>
        <v>0</v>
      </c>
      <c r="Y19" s="36" t="n">
        <f aca="false">SUM(Y6:Y13)</f>
        <v>0</v>
      </c>
      <c r="Z19" s="36" t="n">
        <f aca="false">SUM(Z6:Z13)</f>
        <v>0</v>
      </c>
      <c r="AA19" s="36" t="n">
        <f aca="false">SUM(AA6:AA13)</f>
        <v>0</v>
      </c>
      <c r="AB19" s="36" t="n">
        <f aca="false">SUM(AB6:AB13)</f>
        <v>0</v>
      </c>
      <c r="AC19" s="36" t="n">
        <f aca="false">SUM(AC6:AC13)</f>
        <v>0</v>
      </c>
      <c r="AD19" s="36" t="n">
        <f aca="false">SUM(AD6:AD13)</f>
        <v>0</v>
      </c>
      <c r="AE19" s="36" t="n">
        <f aca="false">SUM(AE6:AE13)</f>
        <v>0</v>
      </c>
      <c r="AF19" s="36" t="n">
        <f aca="false">SUM(AF6:AF13)</f>
        <v>0</v>
      </c>
      <c r="AG19" s="36" t="n">
        <f aca="false">SUM(AG6:AG13)</f>
        <v>0</v>
      </c>
      <c r="AH19" s="36" t="n">
        <f aca="false">SUM(AH6:AH13)</f>
        <v>0</v>
      </c>
      <c r="AI19" s="36" t="n">
        <f aca="false">SUM(AI6:AI13)</f>
        <v>0</v>
      </c>
      <c r="AJ19" s="36" t="n">
        <f aca="false">SUM(AJ6:AJ13)</f>
        <v>0</v>
      </c>
      <c r="AK19" s="36" t="n">
        <f aca="false">SUM(AK6:AK13)</f>
        <v>0</v>
      </c>
      <c r="AL19" s="36" t="n">
        <f aca="false">SUM(AL6:AL13)</f>
        <v>0</v>
      </c>
      <c r="AM19" s="36" t="n">
        <f aca="false">SUM(AM6:AM13)</f>
        <v>0</v>
      </c>
      <c r="AN19" s="36" t="n">
        <f aca="false">SUM(AN6:AN13)</f>
        <v>0</v>
      </c>
      <c r="AO19" s="36" t="n">
        <f aca="false">SUM(AO6:AO13)</f>
        <v>0</v>
      </c>
      <c r="AP19" s="36" t="n">
        <f aca="false">SUM(AP6:AP13)</f>
        <v>0</v>
      </c>
      <c r="AQ19" s="36" t="n">
        <f aca="false">SUM(AQ6:AQ13)</f>
        <v>0</v>
      </c>
      <c r="AR19" s="36" t="n">
        <f aca="false">SUM(AR6:AR13)</f>
        <v>0</v>
      </c>
      <c r="AS19" s="36" t="n">
        <f aca="false">SUM(AS6:AS13)</f>
        <v>0</v>
      </c>
      <c r="AT19" s="36" t="n">
        <f aca="false">SUM(AT6:AT13)</f>
        <v>0</v>
      </c>
      <c r="AU19" s="36" t="n">
        <f aca="false">SUM(AU6:AU13)</f>
        <v>0</v>
      </c>
      <c r="AV19" s="36" t="n">
        <f aca="false">SUM(AV6:AV13)</f>
        <v>0</v>
      </c>
      <c r="AW19" s="36" t="n">
        <f aca="false">SUM(AW6:AW13)</f>
        <v>0</v>
      </c>
      <c r="AX19" s="36" t="n">
        <f aca="false">SUM(AX6:AX13)</f>
        <v>0</v>
      </c>
      <c r="AY19" s="36" t="n">
        <f aca="false">SUM(AY6:AY13)</f>
        <v>0</v>
      </c>
      <c r="AZ19" s="36" t="n">
        <f aca="false">SUM(AZ6:AZ13)</f>
        <v>0</v>
      </c>
    </row>
    <row r="20" customFormat="false" ht="15" hidden="false" customHeight="false" outlineLevel="0" collapsed="false">
      <c r="A20" s="3" t="s">
        <v>131</v>
      </c>
      <c r="C20" s="37" t="n">
        <f aca="false">SUM(D20:AZ20)</f>
        <v>15.0210764478909</v>
      </c>
      <c r="D20" s="37" t="n">
        <f aca="false">SUM(D14:D18)</f>
        <v>0</v>
      </c>
      <c r="E20" s="37" t="n">
        <f aca="false">SUM(E14:E18)</f>
        <v>3.00421528957819</v>
      </c>
      <c r="F20" s="37" t="n">
        <f aca="false">SUM(F14:F18)</f>
        <v>8.26159204634002</v>
      </c>
      <c r="G20" s="37" t="n">
        <f aca="false">SUM(G14:G18)</f>
        <v>3.75526911197274</v>
      </c>
      <c r="H20" s="37" t="n">
        <f aca="false">SUM(H14:H18)</f>
        <v>0</v>
      </c>
      <c r="I20" s="37" t="n">
        <f aca="false">SUM(I14:I18)</f>
        <v>0</v>
      </c>
      <c r="J20" s="37" t="n">
        <f aca="false">SUM(J14:J18)</f>
        <v>0</v>
      </c>
      <c r="K20" s="37" t="n">
        <f aca="false">SUM(K14:K18)</f>
        <v>0</v>
      </c>
      <c r="L20" s="37" t="n">
        <f aca="false">SUM(L14:L18)</f>
        <v>0</v>
      </c>
      <c r="M20" s="37" t="n">
        <f aca="false">SUM(M14:M18)</f>
        <v>0</v>
      </c>
      <c r="N20" s="37" t="n">
        <f aca="false">SUM(N14:N18)</f>
        <v>0</v>
      </c>
      <c r="O20" s="37" t="n">
        <f aca="false">SUM(O14:O18)</f>
        <v>0</v>
      </c>
      <c r="P20" s="37" t="n">
        <f aca="false">SUM(P14:P18)</f>
        <v>0</v>
      </c>
      <c r="Q20" s="37" t="n">
        <f aca="false">SUM(Q14:Q18)</f>
        <v>0</v>
      </c>
      <c r="R20" s="37" t="n">
        <f aca="false">SUM(R14:R18)</f>
        <v>0</v>
      </c>
      <c r="S20" s="37" t="n">
        <f aca="false">SUM(S14:S18)</f>
        <v>0</v>
      </c>
      <c r="T20" s="37" t="n">
        <f aca="false">SUM(T14:T18)</f>
        <v>0</v>
      </c>
      <c r="U20" s="37" t="n">
        <f aca="false">SUM(U14:U18)</f>
        <v>0</v>
      </c>
      <c r="V20" s="37" t="n">
        <f aca="false">SUM(V14:V18)</f>
        <v>0</v>
      </c>
      <c r="W20" s="37" t="n">
        <f aca="false">SUM(W14:W18)</f>
        <v>0</v>
      </c>
      <c r="X20" s="37" t="n">
        <f aca="false">SUM(X14:X18)</f>
        <v>0</v>
      </c>
      <c r="Y20" s="37" t="n">
        <f aca="false">SUM(Y14:Y18)</f>
        <v>0</v>
      </c>
      <c r="Z20" s="37" t="n">
        <f aca="false">SUM(Z14:Z18)</f>
        <v>0</v>
      </c>
      <c r="AA20" s="37" t="n">
        <f aca="false">SUM(AA14:AA18)</f>
        <v>0</v>
      </c>
      <c r="AB20" s="37" t="n">
        <f aca="false">SUM(AB14:AB18)</f>
        <v>0</v>
      </c>
      <c r="AC20" s="37" t="n">
        <f aca="false">SUM(AC14:AC18)</f>
        <v>0</v>
      </c>
      <c r="AD20" s="37" t="n">
        <f aca="false">SUM(AD14:AD18)</f>
        <v>0</v>
      </c>
      <c r="AE20" s="37" t="n">
        <f aca="false">SUM(AE14:AE18)</f>
        <v>0</v>
      </c>
      <c r="AF20" s="37" t="n">
        <f aca="false">SUM(AF14:AF18)</f>
        <v>0</v>
      </c>
      <c r="AG20" s="37" t="n">
        <f aca="false">SUM(AG14:AG18)</f>
        <v>0</v>
      </c>
      <c r="AH20" s="37" t="n">
        <f aca="false">SUM(AH14:AH18)</f>
        <v>0</v>
      </c>
      <c r="AI20" s="37" t="n">
        <f aca="false">SUM(AI14:AI18)</f>
        <v>0</v>
      </c>
      <c r="AJ20" s="37" t="n">
        <f aca="false">SUM(AJ14:AJ18)</f>
        <v>0</v>
      </c>
      <c r="AK20" s="37" t="n">
        <f aca="false">SUM(AK14:AK18)</f>
        <v>0</v>
      </c>
      <c r="AL20" s="37" t="n">
        <f aca="false">SUM(AL14:AL18)</f>
        <v>0</v>
      </c>
      <c r="AM20" s="37" t="n">
        <f aca="false">SUM(AM14:AM18)</f>
        <v>0</v>
      </c>
      <c r="AN20" s="37" t="n">
        <f aca="false">SUM(AN14:AN18)</f>
        <v>0</v>
      </c>
      <c r="AO20" s="37" t="n">
        <f aca="false">SUM(AO14:AO18)</f>
        <v>0</v>
      </c>
      <c r="AP20" s="37" t="n">
        <f aca="false">SUM(AP14:AP18)</f>
        <v>0</v>
      </c>
      <c r="AQ20" s="37" t="n">
        <f aca="false">SUM(AQ14:AQ18)</f>
        <v>0</v>
      </c>
      <c r="AR20" s="37" t="n">
        <f aca="false">SUM(AR14:AR18)</f>
        <v>0</v>
      </c>
      <c r="AS20" s="37" t="n">
        <f aca="false">SUM(AS14:AS18)</f>
        <v>0</v>
      </c>
      <c r="AT20" s="37" t="n">
        <f aca="false">SUM(AT14:AT18)</f>
        <v>0</v>
      </c>
      <c r="AU20" s="37" t="n">
        <f aca="false">SUM(AU14:AU18)</f>
        <v>0</v>
      </c>
      <c r="AV20" s="37" t="n">
        <f aca="false">SUM(AV14:AV18)</f>
        <v>0</v>
      </c>
      <c r="AW20" s="37" t="n">
        <f aca="false">SUM(AW14:AW18)</f>
        <v>0</v>
      </c>
      <c r="AX20" s="37" t="n">
        <f aca="false">SUM(AX14:AX18)</f>
        <v>0</v>
      </c>
      <c r="AY20" s="37" t="n">
        <f aca="false">SUM(AY14:AY18)</f>
        <v>0</v>
      </c>
      <c r="AZ20" s="37" t="n">
        <f aca="false">SUM(AZ14:AZ18)</f>
        <v>0</v>
      </c>
    </row>
    <row r="21" customFormat="false" ht="15" hidden="false" customHeight="false" outlineLevel="0" collapsed="false">
      <c r="A21" s="3" t="s">
        <v>132</v>
      </c>
      <c r="C21" s="37" t="n">
        <f aca="false">SUM(D21:AZ21)</f>
        <v>15</v>
      </c>
      <c r="D21" s="35" t="n">
        <f aca="false">IF(2026=Inputs!$B$53-1,Inputs!$B$48*Inputs!$B$49,IF(2026=Inputs!$B$53,Inputs!$B$48*(1-Inputs!$B$49),0))*Inputs!$B$200</f>
        <v>0</v>
      </c>
      <c r="E21" s="35" t="n">
        <f aca="false">IF(2027=Inputs!$B$53-1,Inputs!$B$48*Inputs!$B$49,IF(2027=Inputs!$B$53,Inputs!$B$48*(1-Inputs!$B$49),0))*Inputs!$B$200</f>
        <v>0</v>
      </c>
      <c r="F21" s="35" t="n">
        <f aca="false">IF(2028=Inputs!$B$53-1,Inputs!$B$48*Inputs!$B$49,IF(2028=Inputs!$B$53,Inputs!$B$48*(1-Inputs!$B$49),0))*Inputs!$B$200</f>
        <v>4.9995</v>
      </c>
      <c r="G21" s="35" t="n">
        <f aca="false">IF(2029=Inputs!$B$53-1,Inputs!$B$48*Inputs!$B$49,IF(2029=Inputs!$B$53,Inputs!$B$48*(1-Inputs!$B$49),0))*Inputs!$B$200</f>
        <v>10.0005</v>
      </c>
      <c r="H21" s="35" t="n">
        <f aca="false">IF(2030=Inputs!$B$53-1,Inputs!$B$48*Inputs!$B$49,IF(2030=Inputs!$B$53,Inputs!$B$48*(1-Inputs!$B$49),0))*Inputs!$B$200</f>
        <v>0</v>
      </c>
      <c r="I21" s="35" t="n">
        <f aca="false">IF(2031=Inputs!$B$53-1,Inputs!$B$48*Inputs!$B$49,IF(2031=Inputs!$B$53,Inputs!$B$48*(1-Inputs!$B$49),0))*Inputs!$B$200</f>
        <v>0</v>
      </c>
      <c r="J21" s="35" t="n">
        <f aca="false">IF(2032=Inputs!$B$53-1,Inputs!$B$48*Inputs!$B$49,IF(2032=Inputs!$B$53,Inputs!$B$48*(1-Inputs!$B$49),0))*Inputs!$B$200</f>
        <v>0</v>
      </c>
      <c r="K21" s="35" t="n">
        <f aca="false">IF(2033=Inputs!$B$53-1,Inputs!$B$48*Inputs!$B$49,IF(2033=Inputs!$B$53,Inputs!$B$48*(1-Inputs!$B$49),0))*Inputs!$B$200</f>
        <v>0</v>
      </c>
      <c r="L21" s="35" t="n">
        <f aca="false">IF(2034=Inputs!$B$53-1,Inputs!$B$48*Inputs!$B$49,IF(2034=Inputs!$B$53,Inputs!$B$48*(1-Inputs!$B$49),0))*Inputs!$B$200</f>
        <v>0</v>
      </c>
      <c r="M21" s="35" t="n">
        <f aca="false">IF(2035=Inputs!$B$53-1,Inputs!$B$48*Inputs!$B$49,IF(2035=Inputs!$B$53,Inputs!$B$48*(1-Inputs!$B$49),0))*Inputs!$B$200</f>
        <v>0</v>
      </c>
      <c r="N21" s="35" t="n">
        <f aca="false">IF(2036=Inputs!$B$53-1,Inputs!$B$48*Inputs!$B$49,IF(2036=Inputs!$B$53,Inputs!$B$48*(1-Inputs!$B$49),0))*Inputs!$B$200</f>
        <v>0</v>
      </c>
      <c r="O21" s="35" t="n">
        <f aca="false">IF(2037=Inputs!$B$53-1,Inputs!$B$48*Inputs!$B$49,IF(2037=Inputs!$B$53,Inputs!$B$48*(1-Inputs!$B$49),0))*Inputs!$B$200</f>
        <v>0</v>
      </c>
      <c r="P21" s="35" t="n">
        <f aca="false">IF(2038=Inputs!$B$53-1,Inputs!$B$48*Inputs!$B$49,IF(2038=Inputs!$B$53,Inputs!$B$48*(1-Inputs!$B$49),0))*Inputs!$B$200</f>
        <v>0</v>
      </c>
      <c r="Q21" s="35" t="n">
        <f aca="false">IF(2039=Inputs!$B$53-1,Inputs!$B$48*Inputs!$B$49,IF(2039=Inputs!$B$53,Inputs!$B$48*(1-Inputs!$B$49),0))*Inputs!$B$200</f>
        <v>0</v>
      </c>
      <c r="R21" s="35" t="n">
        <f aca="false">IF(2040=Inputs!$B$53-1,Inputs!$B$48*Inputs!$B$49,IF(2040=Inputs!$B$53,Inputs!$B$48*(1-Inputs!$B$49),0))*Inputs!$B$200</f>
        <v>0</v>
      </c>
      <c r="S21" s="35" t="n">
        <f aca="false">IF(2041=Inputs!$B$53-1,Inputs!$B$48*Inputs!$B$49,IF(2041=Inputs!$B$53,Inputs!$B$48*(1-Inputs!$B$49),0))*Inputs!$B$200</f>
        <v>0</v>
      </c>
      <c r="T21" s="35" t="n">
        <f aca="false">IF(2042=Inputs!$B$53-1,Inputs!$B$48*Inputs!$B$49,IF(2042=Inputs!$B$53,Inputs!$B$48*(1-Inputs!$B$49),0))*Inputs!$B$200</f>
        <v>0</v>
      </c>
      <c r="U21" s="35" t="n">
        <f aca="false">IF(2043=Inputs!$B$53-1,Inputs!$B$48*Inputs!$B$49,IF(2043=Inputs!$B$53,Inputs!$B$48*(1-Inputs!$B$49),0))*Inputs!$B$200</f>
        <v>0</v>
      </c>
      <c r="V21" s="35" t="n">
        <f aca="false">IF(2044=Inputs!$B$53-1,Inputs!$B$48*Inputs!$B$49,IF(2044=Inputs!$B$53,Inputs!$B$48*(1-Inputs!$B$49),0))*Inputs!$B$200</f>
        <v>0</v>
      </c>
      <c r="W21" s="35" t="n">
        <f aca="false">IF(2045=Inputs!$B$53-1,Inputs!$B$48*Inputs!$B$49,IF(2045=Inputs!$B$53,Inputs!$B$48*(1-Inputs!$B$49),0))*Inputs!$B$200</f>
        <v>0</v>
      </c>
      <c r="X21" s="35" t="n">
        <f aca="false">IF(2046=Inputs!$B$53-1,Inputs!$B$48*Inputs!$B$49,IF(2046=Inputs!$B$53,Inputs!$B$48*(1-Inputs!$B$49),0))*Inputs!$B$200</f>
        <v>0</v>
      </c>
      <c r="Y21" s="35" t="n">
        <f aca="false">IF(2047=Inputs!$B$53-1,Inputs!$B$48*Inputs!$B$49,IF(2047=Inputs!$B$53,Inputs!$B$48*(1-Inputs!$B$49),0))*Inputs!$B$200</f>
        <v>0</v>
      </c>
      <c r="Z21" s="35" t="n">
        <f aca="false">IF(2048=Inputs!$B$53-1,Inputs!$B$48*Inputs!$B$49,IF(2048=Inputs!$B$53,Inputs!$B$48*(1-Inputs!$B$49),0))*Inputs!$B$200</f>
        <v>0</v>
      </c>
      <c r="AA21" s="35" t="n">
        <f aca="false">IF(2049=Inputs!$B$53-1,Inputs!$B$48*Inputs!$B$49,IF(2049=Inputs!$B$53,Inputs!$B$48*(1-Inputs!$B$49),0))*Inputs!$B$200</f>
        <v>0</v>
      </c>
      <c r="AB21" s="35" t="n">
        <f aca="false">IF(2050=Inputs!$B$53-1,Inputs!$B$48*Inputs!$B$49,IF(2050=Inputs!$B$53,Inputs!$B$48*(1-Inputs!$B$49),0))*Inputs!$B$200</f>
        <v>0</v>
      </c>
      <c r="AC21" s="35" t="n">
        <f aca="false">IF(2051=Inputs!$B$53-1,Inputs!$B$48*Inputs!$B$49,IF(2051=Inputs!$B$53,Inputs!$B$48*(1-Inputs!$B$49),0))*Inputs!$B$200</f>
        <v>0</v>
      </c>
      <c r="AD21" s="35" t="n">
        <f aca="false">IF(2052=Inputs!$B$53-1,Inputs!$B$48*Inputs!$B$49,IF(2052=Inputs!$B$53,Inputs!$B$48*(1-Inputs!$B$49),0))*Inputs!$B$200</f>
        <v>0</v>
      </c>
      <c r="AE21" s="35" t="n">
        <f aca="false">IF(2053=Inputs!$B$53-1,Inputs!$B$48*Inputs!$B$49,IF(2053=Inputs!$B$53,Inputs!$B$48*(1-Inputs!$B$49),0))*Inputs!$B$200</f>
        <v>0</v>
      </c>
      <c r="AF21" s="35" t="n">
        <f aca="false">IF(2054=Inputs!$B$53-1,Inputs!$B$48*Inputs!$B$49,IF(2054=Inputs!$B$53,Inputs!$B$48*(1-Inputs!$B$49),0))*Inputs!$B$200</f>
        <v>0</v>
      </c>
      <c r="AG21" s="35" t="n">
        <f aca="false">IF(2055=Inputs!$B$53-1,Inputs!$B$48*Inputs!$B$49,IF(2055=Inputs!$B$53,Inputs!$B$48*(1-Inputs!$B$49),0))*Inputs!$B$200</f>
        <v>0</v>
      </c>
      <c r="AH21" s="35" t="n">
        <f aca="false">IF(2056=Inputs!$B$53-1,Inputs!$B$48*Inputs!$B$49,IF(2056=Inputs!$B$53,Inputs!$B$48*(1-Inputs!$B$49),0))*Inputs!$B$200</f>
        <v>0</v>
      </c>
      <c r="AI21" s="35" t="n">
        <f aca="false">IF(2057=Inputs!$B$53-1,Inputs!$B$48*Inputs!$B$49,IF(2057=Inputs!$B$53,Inputs!$B$48*(1-Inputs!$B$49),0))*Inputs!$B$200</f>
        <v>0</v>
      </c>
      <c r="AJ21" s="35" t="n">
        <f aca="false">IF(2058=Inputs!$B$53-1,Inputs!$B$48*Inputs!$B$49,IF(2058=Inputs!$B$53,Inputs!$B$48*(1-Inputs!$B$49),0))*Inputs!$B$200</f>
        <v>0</v>
      </c>
      <c r="AK21" s="35" t="n">
        <f aca="false">IF(2059=Inputs!$B$53-1,Inputs!$B$48*Inputs!$B$49,IF(2059=Inputs!$B$53,Inputs!$B$48*(1-Inputs!$B$49),0))*Inputs!$B$200</f>
        <v>0</v>
      </c>
      <c r="AL21" s="35" t="n">
        <f aca="false">IF(2060=Inputs!$B$53-1,Inputs!$B$48*Inputs!$B$49,IF(2060=Inputs!$B$53,Inputs!$B$48*(1-Inputs!$B$49),0))*Inputs!$B$200</f>
        <v>0</v>
      </c>
      <c r="AM21" s="35" t="n">
        <f aca="false">IF(2061=Inputs!$B$53-1,Inputs!$B$48*Inputs!$B$49,IF(2061=Inputs!$B$53,Inputs!$B$48*(1-Inputs!$B$49),0))*Inputs!$B$200</f>
        <v>0</v>
      </c>
      <c r="AN21" s="35" t="n">
        <f aca="false">IF(2062=Inputs!$B$53-1,Inputs!$B$48*Inputs!$B$49,IF(2062=Inputs!$B$53,Inputs!$B$48*(1-Inputs!$B$49),0))*Inputs!$B$200</f>
        <v>0</v>
      </c>
      <c r="AO21" s="35" t="n">
        <f aca="false">IF(2063=Inputs!$B$53-1,Inputs!$B$48*Inputs!$B$49,IF(2063=Inputs!$B$53,Inputs!$B$48*(1-Inputs!$B$49),0))*Inputs!$B$200</f>
        <v>0</v>
      </c>
      <c r="AP21" s="35" t="n">
        <f aca="false">IF(2064=Inputs!$B$53-1,Inputs!$B$48*Inputs!$B$49,IF(2064=Inputs!$B$53,Inputs!$B$48*(1-Inputs!$B$49),0))*Inputs!$B$200</f>
        <v>0</v>
      </c>
      <c r="AQ21" s="35" t="n">
        <f aca="false">IF(2065=Inputs!$B$53-1,Inputs!$B$48*Inputs!$B$49,IF(2065=Inputs!$B$53,Inputs!$B$48*(1-Inputs!$B$49),0))*Inputs!$B$200</f>
        <v>0</v>
      </c>
      <c r="AR21" s="35" t="n">
        <f aca="false">IF(2066=Inputs!$B$53-1,Inputs!$B$48*Inputs!$B$49,IF(2066=Inputs!$B$53,Inputs!$B$48*(1-Inputs!$B$49),0))*Inputs!$B$200</f>
        <v>0</v>
      </c>
      <c r="AS21" s="35" t="n">
        <f aca="false">IF(2067=Inputs!$B$53-1,Inputs!$B$48*Inputs!$B$49,IF(2067=Inputs!$B$53,Inputs!$B$48*(1-Inputs!$B$49),0))*Inputs!$B$200</f>
        <v>0</v>
      </c>
      <c r="AT21" s="35" t="n">
        <f aca="false">IF(2068=Inputs!$B$53-1,Inputs!$B$48*Inputs!$B$49,IF(2068=Inputs!$B$53,Inputs!$B$48*(1-Inputs!$B$49),0))*Inputs!$B$200</f>
        <v>0</v>
      </c>
      <c r="AU21" s="35" t="n">
        <f aca="false">IF(2069=Inputs!$B$53-1,Inputs!$B$48*Inputs!$B$49,IF(2069=Inputs!$B$53,Inputs!$B$48*(1-Inputs!$B$49),0))*Inputs!$B$200</f>
        <v>0</v>
      </c>
      <c r="AV21" s="35" t="n">
        <f aca="false">IF(2070=Inputs!$B$53-1,Inputs!$B$48*Inputs!$B$49,IF(2070=Inputs!$B$53,Inputs!$B$48*(1-Inputs!$B$49),0))*Inputs!$B$200</f>
        <v>0</v>
      </c>
      <c r="AW21" s="35" t="n">
        <f aca="false">IF(2071=Inputs!$B$53-1,Inputs!$B$48*Inputs!$B$49,IF(2071=Inputs!$B$53,Inputs!$B$48*(1-Inputs!$B$49),0))*Inputs!$B$200</f>
        <v>0</v>
      </c>
      <c r="AX21" s="35" t="n">
        <f aca="false">IF(2072=Inputs!$B$53-1,Inputs!$B$48*Inputs!$B$49,IF(2072=Inputs!$B$53,Inputs!$B$48*(1-Inputs!$B$49),0))*Inputs!$B$200</f>
        <v>0</v>
      </c>
      <c r="AY21" s="35" t="n">
        <f aca="false">IF(2073=Inputs!$B$53-1,Inputs!$B$48*Inputs!$B$49,IF(2073=Inputs!$B$53,Inputs!$B$48*(1-Inputs!$B$49),0))*Inputs!$B$200</f>
        <v>0</v>
      </c>
      <c r="AZ21" s="35" t="n">
        <f aca="false">IF(2074=Inputs!$B$53-1,Inputs!$B$48*Inputs!$B$49,IF(2074=Inputs!$B$53,Inputs!$B$48*(1-Inputs!$B$49),0))*Inputs!$B$200</f>
        <v>0</v>
      </c>
    </row>
    <row r="22" customFormat="false" ht="15" hidden="false" customHeight="false" outlineLevel="0" collapsed="false">
      <c r="A22" s="3" t="s">
        <v>133</v>
      </c>
      <c r="C22" s="36" t="n">
        <f aca="false">SUM(D22:AZ22)</f>
        <v>215.26939361792</v>
      </c>
      <c r="D22" s="36" t="n">
        <f aca="false">D19+D20+D21</f>
        <v>0</v>
      </c>
      <c r="E22" s="36" t="n">
        <f aca="false">E19+E20+E21</f>
        <v>40.053878723584</v>
      </c>
      <c r="F22" s="36" t="n">
        <f aca="false">F19+F20+F21</f>
        <v>115.147666489856</v>
      </c>
      <c r="G22" s="36" t="n">
        <f aca="false">G19+G20+G21</f>
        <v>60.06784840448</v>
      </c>
      <c r="H22" s="36" t="n">
        <f aca="false">H19+H20+H21</f>
        <v>0</v>
      </c>
      <c r="I22" s="36" t="n">
        <f aca="false">I19+I20+I21</f>
        <v>0</v>
      </c>
      <c r="J22" s="36" t="n">
        <f aca="false">J19+J20+J21</f>
        <v>0</v>
      </c>
      <c r="K22" s="36" t="n">
        <f aca="false">K19+K20+K21</f>
        <v>0</v>
      </c>
      <c r="L22" s="36" t="n">
        <f aca="false">L19+L20+L21</f>
        <v>0</v>
      </c>
      <c r="M22" s="36" t="n">
        <f aca="false">M19+M20+M21</f>
        <v>0</v>
      </c>
      <c r="N22" s="36" t="n">
        <f aca="false">N19+N20+N21</f>
        <v>0</v>
      </c>
      <c r="O22" s="36" t="n">
        <f aca="false">O19+O20+O21</f>
        <v>0</v>
      </c>
      <c r="P22" s="36" t="n">
        <f aca="false">P19+P20+P21</f>
        <v>0</v>
      </c>
      <c r="Q22" s="36" t="n">
        <f aca="false">Q19+Q20+Q21</f>
        <v>0</v>
      </c>
      <c r="R22" s="36" t="n">
        <f aca="false">R19+R20+R21</f>
        <v>0</v>
      </c>
      <c r="S22" s="36" t="n">
        <f aca="false">S19+S20+S21</f>
        <v>0</v>
      </c>
      <c r="T22" s="36" t="n">
        <f aca="false">T19+T20+T21</f>
        <v>0</v>
      </c>
      <c r="U22" s="36" t="n">
        <f aca="false">U19+U20+U21</f>
        <v>0</v>
      </c>
      <c r="V22" s="36" t="n">
        <f aca="false">V19+V20+V21</f>
        <v>0</v>
      </c>
      <c r="W22" s="36" t="n">
        <f aca="false">W19+W20+W21</f>
        <v>0</v>
      </c>
      <c r="X22" s="36" t="n">
        <f aca="false">X19+X20+X21</f>
        <v>0</v>
      </c>
      <c r="Y22" s="36" t="n">
        <f aca="false">Y19+Y20+Y21</f>
        <v>0</v>
      </c>
      <c r="Z22" s="36" t="n">
        <f aca="false">Z19+Z20+Z21</f>
        <v>0</v>
      </c>
      <c r="AA22" s="36" t="n">
        <f aca="false">AA19+AA20+AA21</f>
        <v>0</v>
      </c>
      <c r="AB22" s="36" t="n">
        <f aca="false">AB19+AB20+AB21</f>
        <v>0</v>
      </c>
      <c r="AC22" s="36" t="n">
        <f aca="false">AC19+AC20+AC21</f>
        <v>0</v>
      </c>
      <c r="AD22" s="36" t="n">
        <f aca="false">AD19+AD20+AD21</f>
        <v>0</v>
      </c>
      <c r="AE22" s="36" t="n">
        <f aca="false">AE19+AE20+AE21</f>
        <v>0</v>
      </c>
      <c r="AF22" s="36" t="n">
        <f aca="false">AF19+AF20+AF21</f>
        <v>0</v>
      </c>
      <c r="AG22" s="36" t="n">
        <f aca="false">AG19+AG20+AG21</f>
        <v>0</v>
      </c>
      <c r="AH22" s="36" t="n">
        <f aca="false">AH19+AH20+AH21</f>
        <v>0</v>
      </c>
      <c r="AI22" s="36" t="n">
        <f aca="false">AI19+AI20+AI21</f>
        <v>0</v>
      </c>
      <c r="AJ22" s="36" t="n">
        <f aca="false">AJ19+AJ20+AJ21</f>
        <v>0</v>
      </c>
      <c r="AK22" s="36" t="n">
        <f aca="false">AK19+AK20+AK21</f>
        <v>0</v>
      </c>
      <c r="AL22" s="36" t="n">
        <f aca="false">AL19+AL20+AL21</f>
        <v>0</v>
      </c>
      <c r="AM22" s="36" t="n">
        <f aca="false">AM19+AM20+AM21</f>
        <v>0</v>
      </c>
      <c r="AN22" s="36" t="n">
        <f aca="false">AN19+AN20+AN21</f>
        <v>0</v>
      </c>
      <c r="AO22" s="36" t="n">
        <f aca="false">AO19+AO20+AO21</f>
        <v>0</v>
      </c>
      <c r="AP22" s="36" t="n">
        <f aca="false">AP19+AP20+AP21</f>
        <v>0</v>
      </c>
      <c r="AQ22" s="36" t="n">
        <f aca="false">AQ19+AQ20+AQ21</f>
        <v>0</v>
      </c>
      <c r="AR22" s="36" t="n">
        <f aca="false">AR19+AR20+AR21</f>
        <v>0</v>
      </c>
      <c r="AS22" s="36" t="n">
        <f aca="false">AS19+AS20+AS21</f>
        <v>0</v>
      </c>
      <c r="AT22" s="36" t="n">
        <f aca="false">AT19+AT20+AT21</f>
        <v>0</v>
      </c>
      <c r="AU22" s="36" t="n">
        <f aca="false">AU19+AU20+AU21</f>
        <v>0</v>
      </c>
      <c r="AV22" s="36" t="n">
        <f aca="false">AV19+AV20+AV21</f>
        <v>0</v>
      </c>
      <c r="AW22" s="36" t="n">
        <f aca="false">AW19+AW20+AW21</f>
        <v>0</v>
      </c>
      <c r="AX22" s="36" t="n">
        <f aca="false">AX19+AX20+AX21</f>
        <v>0</v>
      </c>
      <c r="AY22" s="36" t="n">
        <f aca="false">AY19+AY20+AY21</f>
        <v>0</v>
      </c>
      <c r="AZ22" s="36" t="n">
        <f aca="false">AZ19+AZ20+AZ21</f>
        <v>0</v>
      </c>
    </row>
    <row r="24" customFormat="false" ht="15" hidden="false" customHeight="false" outlineLevel="0" collapsed="false">
      <c r="A24" s="31" t="s">
        <v>134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</row>
    <row r="25" customFormat="false" ht="15" hidden="false" customHeight="false" outlineLevel="0" collapsed="false">
      <c r="A25" s="33" t="s">
        <v>135</v>
      </c>
      <c r="D25" s="38" t="n">
        <f aca="false">(1+Inputs!$B$64)^(2026-2029)</f>
        <v>0.936525992018507</v>
      </c>
      <c r="E25" s="38" t="n">
        <f aca="false">(1+Inputs!$B$64)^(2027-2029)</f>
        <v>0.957223216442116</v>
      </c>
      <c r="F25" s="38" t="n">
        <f aca="false">(1+Inputs!$B$64)^(2028-2029)</f>
        <v>0.978377849525487</v>
      </c>
      <c r="G25" s="38" t="n">
        <f aca="false">(1+Inputs!$B$64)^(2029-2029)</f>
        <v>1</v>
      </c>
      <c r="H25" s="38" t="n">
        <f aca="false">(1+Inputs!$B$64)^(2030-2029)</f>
        <v>1.0221</v>
      </c>
      <c r="I25" s="38" t="n">
        <f aca="false">(1+Inputs!$B$64)^(2031-2029)</f>
        <v>1.04468841</v>
      </c>
      <c r="J25" s="38" t="n">
        <f aca="false">(1+Inputs!$B$64)^(2032-2029)</f>
        <v>1.067776023861</v>
      </c>
      <c r="K25" s="38" t="n">
        <f aca="false">(1+Inputs!$B$64)^(2033-2029)</f>
        <v>1.09137387398833</v>
      </c>
      <c r="L25" s="38" t="n">
        <f aca="false">(1+Inputs!$B$64)^(2034-2029)</f>
        <v>1.11549323660347</v>
      </c>
      <c r="M25" s="38" t="n">
        <f aca="false">(1+Inputs!$B$64)^(2035-2029)</f>
        <v>1.14014563713241</v>
      </c>
      <c r="N25" s="38" t="n">
        <f aca="false">(1+Inputs!$B$64)^(2036-2029)</f>
        <v>1.16534285571303</v>
      </c>
      <c r="O25" s="38" t="n">
        <f aca="false">(1+Inputs!$B$64)^(2037-2029)</f>
        <v>1.19109693282429</v>
      </c>
      <c r="P25" s="38" t="n">
        <f aca="false">(1+Inputs!$B$64)^(2038-2029)</f>
        <v>1.21742017503971</v>
      </c>
      <c r="Q25" s="38" t="n">
        <f aca="false">(1+Inputs!$B$64)^(2039-2029)</f>
        <v>1.24432516090809</v>
      </c>
      <c r="R25" s="38" t="n">
        <f aca="false">(1+Inputs!$B$64)^(2040-2029)</f>
        <v>1.27182474696415</v>
      </c>
      <c r="S25" s="38" t="n">
        <f aca="false">(1+Inputs!$B$64)^(2041-2029)</f>
        <v>1.29993207387206</v>
      </c>
      <c r="T25" s="38" t="n">
        <f aca="false">(1+Inputs!$B$64)^(2042-2029)</f>
        <v>1.32866057270463</v>
      </c>
      <c r="U25" s="38" t="n">
        <f aca="false">(1+Inputs!$B$64)^(2043-2029)</f>
        <v>1.35802397136141</v>
      </c>
      <c r="V25" s="38" t="n">
        <f aca="false">(1+Inputs!$B$64)^(2044-2029)</f>
        <v>1.38803630112849</v>
      </c>
      <c r="W25" s="38" t="n">
        <f aca="false">(1+Inputs!$B$64)^(2045-2029)</f>
        <v>1.41871190338343</v>
      </c>
      <c r="X25" s="38" t="n">
        <f aca="false">(1+Inputs!$B$64)^(2046-2029)</f>
        <v>1.45006543644821</v>
      </c>
      <c r="Y25" s="38" t="n">
        <f aca="false">(1+Inputs!$B$64)^(2047-2029)</f>
        <v>1.48211188259371</v>
      </c>
      <c r="Z25" s="38" t="n">
        <f aca="false">(1+Inputs!$B$64)^(2048-2029)</f>
        <v>1.51486655519903</v>
      </c>
      <c r="AA25" s="38" t="n">
        <f aca="false">(1+Inputs!$B$64)^(2049-2029)</f>
        <v>1.54834510606893</v>
      </c>
      <c r="AB25" s="38" t="n">
        <f aca="false">(1+Inputs!$B$64)^(2050-2029)</f>
        <v>1.58256353291306</v>
      </c>
      <c r="AC25" s="38" t="n">
        <f aca="false">(1+Inputs!$B$64)^(2051-2029)</f>
        <v>1.61753818699044</v>
      </c>
      <c r="AD25" s="38" t="n">
        <f aca="false">(1+Inputs!$B$64)^(2052-2029)</f>
        <v>1.65328578092292</v>
      </c>
      <c r="AE25" s="38" t="n">
        <f aca="false">(1+Inputs!$B$64)^(2053-2029)</f>
        <v>1.68982339668132</v>
      </c>
      <c r="AF25" s="38" t="n">
        <f aca="false">(1+Inputs!$B$64)^(2054-2029)</f>
        <v>1.72716849374798</v>
      </c>
      <c r="AG25" s="38" t="n">
        <f aca="false">(1+Inputs!$B$64)^(2055-2029)</f>
        <v>1.76533891745981</v>
      </c>
      <c r="AH25" s="38" t="n">
        <f aca="false">(1+Inputs!$B$64)^(2056-2029)</f>
        <v>1.80435290753567</v>
      </c>
      <c r="AI25" s="38" t="n">
        <f aca="false">(1+Inputs!$B$64)^(2057-2029)</f>
        <v>1.84422910679221</v>
      </c>
      <c r="AJ25" s="38" t="n">
        <f aca="false">(1+Inputs!$B$64)^(2058-2029)</f>
        <v>1.88498657005232</v>
      </c>
      <c r="AK25" s="38" t="n">
        <f aca="false">(1+Inputs!$B$64)^(2059-2029)</f>
        <v>1.92664477325047</v>
      </c>
      <c r="AL25" s="38" t="n">
        <f aca="false">(1+Inputs!$B$64)^(2060-2029)</f>
        <v>1.96922362273931</v>
      </c>
      <c r="AM25" s="38" t="n">
        <f aca="false">(1+Inputs!$B$64)^(2061-2029)</f>
        <v>2.01274346480185</v>
      </c>
      <c r="AN25" s="38" t="n">
        <f aca="false">(1+Inputs!$B$64)^(2062-2029)</f>
        <v>2.05722509537397</v>
      </c>
      <c r="AO25" s="38" t="n">
        <f aca="false">(1+Inputs!$B$64)^(2063-2029)</f>
        <v>2.10268976998173</v>
      </c>
      <c r="AP25" s="38" t="n">
        <f aca="false">(1+Inputs!$B$64)^(2064-2029)</f>
        <v>2.14915921389833</v>
      </c>
      <c r="AQ25" s="38" t="n">
        <f aca="false">(1+Inputs!$B$64)^(2065-2029)</f>
        <v>2.19665563252548</v>
      </c>
      <c r="AR25" s="38" t="n">
        <f aca="false">(1+Inputs!$B$64)^(2066-2029)</f>
        <v>2.24520172200429</v>
      </c>
      <c r="AS25" s="38" t="n">
        <f aca="false">(1+Inputs!$B$64)^(2067-2029)</f>
        <v>2.29482068006059</v>
      </c>
      <c r="AT25" s="38" t="n">
        <f aca="false">(1+Inputs!$B$64)^(2068-2029)</f>
        <v>2.34553621708993</v>
      </c>
      <c r="AU25" s="38" t="n">
        <f aca="false">(1+Inputs!$B$64)^(2069-2029)</f>
        <v>2.39737256748762</v>
      </c>
      <c r="AV25" s="38" t="n">
        <f aca="false">(1+Inputs!$B$64)^(2070-2029)</f>
        <v>2.45035450122909</v>
      </c>
      <c r="AW25" s="38" t="n">
        <f aca="false">(1+Inputs!$B$64)^(2071-2029)</f>
        <v>2.50450733570625</v>
      </c>
      <c r="AX25" s="38" t="n">
        <f aca="false">(1+Inputs!$B$64)^(2072-2029)</f>
        <v>2.55985694782536</v>
      </c>
      <c r="AY25" s="38" t="n">
        <f aca="false">(1+Inputs!$B$64)^(2073-2029)</f>
        <v>2.6164297863723</v>
      </c>
      <c r="AZ25" s="38" t="n">
        <f aca="false">(1+Inputs!$B$64)^(2074-2029)</f>
        <v>2.67425288465113</v>
      </c>
    </row>
    <row r="26" customFormat="false" ht="15" hidden="false" customHeight="false" outlineLevel="0" collapsed="false">
      <c r="A26" s="33" t="s">
        <v>136</v>
      </c>
      <c r="D26" s="39" t="n">
        <f aca="false">IF((2026-Inputs!$B$53-Inputs!$B$9)&lt;0,0,(Inputs!$B$58*Inputs!$B$59*Inputs!$B$61+(12-Inputs!$B$58)*Inputs!$B$60*Inputs!$B$62)/(Inputs!$B$58*Inputs!$B$61+(12-Inputs!$B$58)*Inputs!$B$62)*D25)</f>
        <v>0</v>
      </c>
      <c r="E26" s="39" t="n">
        <f aca="false">IF((2027-Inputs!$B$53-Inputs!$B$9)&lt;0,0,(Inputs!$B$58*Inputs!$B$59*Inputs!$B$61+(12-Inputs!$B$58)*Inputs!$B$60*Inputs!$B$62)/(Inputs!$B$58*Inputs!$B$61+(12-Inputs!$B$58)*Inputs!$B$62)*E25)</f>
        <v>0</v>
      </c>
      <c r="F26" s="39" t="n">
        <f aca="false">IF((2028-Inputs!$B$53-Inputs!$B$9)&lt;0,0,(Inputs!$B$58*Inputs!$B$59*Inputs!$B$61+(12-Inputs!$B$58)*Inputs!$B$60*Inputs!$B$62)/(Inputs!$B$58*Inputs!$B$61+(12-Inputs!$B$58)*Inputs!$B$62)*F25)</f>
        <v>0</v>
      </c>
      <c r="G26" s="39" t="n">
        <f aca="false">IF((2029-Inputs!$B$53-Inputs!$B$9)&lt;0,0,(Inputs!$B$58*Inputs!$B$59*Inputs!$B$61+(12-Inputs!$B$58)*Inputs!$B$60*Inputs!$B$62)/(Inputs!$B$58*Inputs!$B$61+(12-Inputs!$B$58)*Inputs!$B$62)*G25)</f>
        <v>633.783783783784</v>
      </c>
      <c r="H26" s="39" t="n">
        <f aca="false">IF((2030-Inputs!$B$53-Inputs!$B$9)&lt;0,0,(Inputs!$B$58*Inputs!$B$59*Inputs!$B$61+(12-Inputs!$B$58)*Inputs!$B$60*Inputs!$B$62)/(Inputs!$B$58*Inputs!$B$61+(12-Inputs!$B$58)*Inputs!$B$62)*H25)</f>
        <v>647.790405405405</v>
      </c>
      <c r="I26" s="39" t="n">
        <f aca="false">IF((2031-Inputs!$B$53-Inputs!$B$9)&lt;0,0,(Inputs!$B$58*Inputs!$B$59*Inputs!$B$61+(12-Inputs!$B$58)*Inputs!$B$60*Inputs!$B$62)/(Inputs!$B$58*Inputs!$B$61+(12-Inputs!$B$58)*Inputs!$B$62)*I25)</f>
        <v>662.106573364865</v>
      </c>
      <c r="J26" s="39" t="n">
        <f aca="false">IF((2032-Inputs!$B$53-Inputs!$B$9)&lt;0,0,(Inputs!$B$58*Inputs!$B$59*Inputs!$B$61+(12-Inputs!$B$58)*Inputs!$B$60*Inputs!$B$62)/(Inputs!$B$58*Inputs!$B$61+(12-Inputs!$B$58)*Inputs!$B$62)*J25)</f>
        <v>676.739128636228</v>
      </c>
      <c r="K26" s="39" t="n">
        <f aca="false">IF((2033-Inputs!$B$53-Inputs!$B$9)&lt;0,0,(Inputs!$B$58*Inputs!$B$59*Inputs!$B$61+(12-Inputs!$B$58)*Inputs!$B$60*Inputs!$B$62)/(Inputs!$B$58*Inputs!$B$61+(12-Inputs!$B$58)*Inputs!$B$62)*K25)</f>
        <v>691.695063379089</v>
      </c>
      <c r="L26" s="39" t="n">
        <f aca="false">IF((2034-Inputs!$B$53-Inputs!$B$9)&lt;0,0,(Inputs!$B$58*Inputs!$B$59*Inputs!$B$61+(12-Inputs!$B$58)*Inputs!$B$60*Inputs!$B$62)/(Inputs!$B$58*Inputs!$B$61+(12-Inputs!$B$58)*Inputs!$B$62)*L25)</f>
        <v>706.981524279767</v>
      </c>
      <c r="M26" s="39" t="n">
        <f aca="false">IF((2035-Inputs!$B$53-Inputs!$B$9)&lt;0,0,(Inputs!$B$58*Inputs!$B$59*Inputs!$B$61+(12-Inputs!$B$58)*Inputs!$B$60*Inputs!$B$62)/(Inputs!$B$58*Inputs!$B$61+(12-Inputs!$B$58)*Inputs!$B$62)*M25)</f>
        <v>722.60581596635</v>
      </c>
      <c r="N26" s="39" t="n">
        <f aca="false">IF((2036-Inputs!$B$53-Inputs!$B$9)&lt;0,0,(Inputs!$B$58*Inputs!$B$59*Inputs!$B$61+(12-Inputs!$B$58)*Inputs!$B$60*Inputs!$B$62)/(Inputs!$B$58*Inputs!$B$61+(12-Inputs!$B$58)*Inputs!$B$62)*N25)</f>
        <v>738.575404499206</v>
      </c>
      <c r="O26" s="39" t="n">
        <f aca="false">IF((2037-Inputs!$B$53-Inputs!$B$9)&lt;0,0,(Inputs!$B$58*Inputs!$B$59*Inputs!$B$61+(12-Inputs!$B$58)*Inputs!$B$60*Inputs!$B$62)/(Inputs!$B$58*Inputs!$B$61+(12-Inputs!$B$58)*Inputs!$B$62)*O25)</f>
        <v>754.897920938638</v>
      </c>
      <c r="P26" s="39" t="n">
        <f aca="false">IF((2038-Inputs!$B$53-Inputs!$B$9)&lt;0,0,(Inputs!$B$58*Inputs!$B$59*Inputs!$B$61+(12-Inputs!$B$58)*Inputs!$B$60*Inputs!$B$62)/(Inputs!$B$58*Inputs!$B$61+(12-Inputs!$B$58)*Inputs!$B$62)*P25)</f>
        <v>771.581164991383</v>
      </c>
      <c r="Q26" s="39" t="n">
        <f aca="false">IF((2039-Inputs!$B$53-Inputs!$B$9)&lt;0,0,(Inputs!$B$58*Inputs!$B$59*Inputs!$B$61+(12-Inputs!$B$58)*Inputs!$B$60*Inputs!$B$62)/(Inputs!$B$58*Inputs!$B$61+(12-Inputs!$B$58)*Inputs!$B$62)*Q25)</f>
        <v>788.633108737692</v>
      </c>
      <c r="R26" s="39" t="n">
        <f aca="false">IF((2040-Inputs!$B$53-Inputs!$B$9)&lt;0,0,(Inputs!$B$58*Inputs!$B$59*Inputs!$B$61+(12-Inputs!$B$58)*Inputs!$B$60*Inputs!$B$62)/(Inputs!$B$58*Inputs!$B$61+(12-Inputs!$B$58)*Inputs!$B$62)*R25)</f>
        <v>806.061900440795</v>
      </c>
      <c r="S26" s="39" t="n">
        <f aca="false">IF((2041-Inputs!$B$53-Inputs!$B$9)&lt;0,0,(Inputs!$B$58*Inputs!$B$59*Inputs!$B$61+(12-Inputs!$B$58)*Inputs!$B$60*Inputs!$B$62)/(Inputs!$B$58*Inputs!$B$61+(12-Inputs!$B$58)*Inputs!$B$62)*S25)</f>
        <v>823.875868440537</v>
      </c>
      <c r="T26" s="39" t="n">
        <f aca="false">IF((2042-Inputs!$B$53-Inputs!$B$9)&lt;0,0,(Inputs!$B$58*Inputs!$B$59*Inputs!$B$61+(12-Inputs!$B$58)*Inputs!$B$60*Inputs!$B$62)/(Inputs!$B$58*Inputs!$B$61+(12-Inputs!$B$58)*Inputs!$B$62)*T25)</f>
        <v>842.083525133072</v>
      </c>
      <c r="U26" s="39" t="n">
        <f aca="false">IF((2043-Inputs!$B$53-Inputs!$B$9)&lt;0,0,(Inputs!$B$58*Inputs!$B$59*Inputs!$B$61+(12-Inputs!$B$58)*Inputs!$B$60*Inputs!$B$62)/(Inputs!$B$58*Inputs!$B$61+(12-Inputs!$B$58)*Inputs!$B$62)*U25)</f>
        <v>860.693571038513</v>
      </c>
      <c r="V26" s="39" t="n">
        <f aca="false">IF((2044-Inputs!$B$53-Inputs!$B$9)&lt;0,0,(Inputs!$B$58*Inputs!$B$59*Inputs!$B$61+(12-Inputs!$B$58)*Inputs!$B$60*Inputs!$B$62)/(Inputs!$B$58*Inputs!$B$61+(12-Inputs!$B$58)*Inputs!$B$62)*V25)</f>
        <v>879.714898958465</v>
      </c>
      <c r="W26" s="39" t="n">
        <f aca="false">IF((2045-Inputs!$B$53-Inputs!$B$9)&lt;0,0,(Inputs!$B$58*Inputs!$B$59*Inputs!$B$61+(12-Inputs!$B$58)*Inputs!$B$60*Inputs!$B$62)/(Inputs!$B$58*Inputs!$B$61+(12-Inputs!$B$58)*Inputs!$B$62)*W25)</f>
        <v>899.156598225447</v>
      </c>
      <c r="X26" s="39" t="n">
        <f aca="false">IF((2046-Inputs!$B$53-Inputs!$B$9)&lt;0,0,(Inputs!$B$58*Inputs!$B$59*Inputs!$B$61+(12-Inputs!$B$58)*Inputs!$B$60*Inputs!$B$62)/(Inputs!$B$58*Inputs!$B$61+(12-Inputs!$B$58)*Inputs!$B$62)*X25)</f>
        <v>919.027959046229</v>
      </c>
      <c r="Y26" s="39" t="n">
        <f aca="false">IF((2047-Inputs!$B$53-Inputs!$B$9)&lt;0,0,(Inputs!$B$58*Inputs!$B$59*Inputs!$B$61+(12-Inputs!$B$58)*Inputs!$B$60*Inputs!$B$62)/(Inputs!$B$58*Inputs!$B$61+(12-Inputs!$B$58)*Inputs!$B$62)*Y25)</f>
        <v>939.338476941151</v>
      </c>
      <c r="Z26" s="39" t="n">
        <f aca="false">IF((2048-Inputs!$B$53-Inputs!$B$9)&lt;0,0,(Inputs!$B$58*Inputs!$B$59*Inputs!$B$61+(12-Inputs!$B$58)*Inputs!$B$60*Inputs!$B$62)/(Inputs!$B$58*Inputs!$B$61+(12-Inputs!$B$58)*Inputs!$B$62)*Z25)</f>
        <v>960.09785728155</v>
      </c>
      <c r="AA26" s="39" t="n">
        <f aca="false">IF((2049-Inputs!$B$53-Inputs!$B$9)&lt;0,0,(Inputs!$B$58*Inputs!$B$59*Inputs!$B$61+(12-Inputs!$B$58)*Inputs!$B$60*Inputs!$B$62)/(Inputs!$B$58*Inputs!$B$61+(12-Inputs!$B$58)*Inputs!$B$62)*AA25)</f>
        <v>981.316019927472</v>
      </c>
      <c r="AB26" s="39" t="n">
        <f aca="false">IF((2050-Inputs!$B$53-Inputs!$B$9)&lt;0,0,(Inputs!$B$58*Inputs!$B$59*Inputs!$B$61+(12-Inputs!$B$58)*Inputs!$B$60*Inputs!$B$62)/(Inputs!$B$58*Inputs!$B$61+(12-Inputs!$B$58)*Inputs!$B$62)*AB25)</f>
        <v>1003.00310396787</v>
      </c>
      <c r="AC26" s="39" t="n">
        <f aca="false">IF((2051-Inputs!$B$53-Inputs!$B$9)&lt;0,0,(Inputs!$B$58*Inputs!$B$59*Inputs!$B$61+(12-Inputs!$B$58)*Inputs!$B$60*Inputs!$B$62)/(Inputs!$B$58*Inputs!$B$61+(12-Inputs!$B$58)*Inputs!$B$62)*AC25)</f>
        <v>1025.16947256556</v>
      </c>
      <c r="AD26" s="39" t="n">
        <f aca="false">IF((2052-Inputs!$B$53-Inputs!$B$9)&lt;0,0,(Inputs!$B$58*Inputs!$B$59*Inputs!$B$61+(12-Inputs!$B$58)*Inputs!$B$60*Inputs!$B$62)/(Inputs!$B$58*Inputs!$B$61+(12-Inputs!$B$58)*Inputs!$B$62)*AD25)</f>
        <v>1047.82571790926</v>
      </c>
      <c r="AE26" s="39" t="n">
        <f aca="false">IF((2053-Inputs!$B$53-Inputs!$B$9)&lt;0,0,(Inputs!$B$58*Inputs!$B$59*Inputs!$B$61+(12-Inputs!$B$58)*Inputs!$B$60*Inputs!$B$62)/(Inputs!$B$58*Inputs!$B$61+(12-Inputs!$B$58)*Inputs!$B$62)*AE25)</f>
        <v>1070.98266627505</v>
      </c>
      <c r="AF26" s="39" t="n">
        <f aca="false">IF((2054-Inputs!$B$53-Inputs!$B$9)&lt;0,0,(Inputs!$B$58*Inputs!$B$59*Inputs!$B$61+(12-Inputs!$B$58)*Inputs!$B$60*Inputs!$B$62)/(Inputs!$B$58*Inputs!$B$61+(12-Inputs!$B$58)*Inputs!$B$62)*AF25)</f>
        <v>1094.65138319973</v>
      </c>
      <c r="AG26" s="39" t="n">
        <f aca="false">IF((2055-Inputs!$B$53-Inputs!$B$9)&lt;0,0,(Inputs!$B$58*Inputs!$B$59*Inputs!$B$61+(12-Inputs!$B$58)*Inputs!$B$60*Inputs!$B$62)/(Inputs!$B$58*Inputs!$B$61+(12-Inputs!$B$58)*Inputs!$B$62)*AG25)</f>
        <v>1118.84317876845</v>
      </c>
      <c r="AH26" s="39" t="n">
        <f aca="false">IF((2056-Inputs!$B$53-Inputs!$B$9)&lt;0,0,(Inputs!$B$58*Inputs!$B$59*Inputs!$B$61+(12-Inputs!$B$58)*Inputs!$B$60*Inputs!$B$62)/(Inputs!$B$58*Inputs!$B$61+(12-Inputs!$B$58)*Inputs!$B$62)*AH25)</f>
        <v>1143.56961301923</v>
      </c>
      <c r="AI26" s="39" t="n">
        <f aca="false">IF((2057-Inputs!$B$53-Inputs!$B$9)&lt;0,0,(Inputs!$B$58*Inputs!$B$59*Inputs!$B$61+(12-Inputs!$B$58)*Inputs!$B$60*Inputs!$B$62)/(Inputs!$B$58*Inputs!$B$61+(12-Inputs!$B$58)*Inputs!$B$62)*AI25)</f>
        <v>1168.84250146695</v>
      </c>
      <c r="AJ26" s="39" t="n">
        <f aca="false">IF((2058-Inputs!$B$53-Inputs!$B$9)&lt;0,0,(Inputs!$B$58*Inputs!$B$59*Inputs!$B$61+(12-Inputs!$B$58)*Inputs!$B$60*Inputs!$B$62)/(Inputs!$B$58*Inputs!$B$61+(12-Inputs!$B$58)*Inputs!$B$62)*AJ25)</f>
        <v>1194.67392074937</v>
      </c>
      <c r="AK26" s="39" t="n">
        <f aca="false">IF((2059-Inputs!$B$53-Inputs!$B$9)&lt;0,0,(Inputs!$B$58*Inputs!$B$59*Inputs!$B$61+(12-Inputs!$B$58)*Inputs!$B$60*Inputs!$B$62)/(Inputs!$B$58*Inputs!$B$61+(12-Inputs!$B$58)*Inputs!$B$62)*AK25)</f>
        <v>1221.07621439793</v>
      </c>
      <c r="AL26" s="39" t="n">
        <f aca="false">IF((2060-Inputs!$B$53-Inputs!$B$9)&lt;0,0,(Inputs!$B$58*Inputs!$B$59*Inputs!$B$61+(12-Inputs!$B$58)*Inputs!$B$60*Inputs!$B$62)/(Inputs!$B$58*Inputs!$B$61+(12-Inputs!$B$58)*Inputs!$B$62)*AL25)</f>
        <v>1248.06199873613</v>
      </c>
      <c r="AM26" s="39" t="n">
        <f aca="false">IF((2061-Inputs!$B$53-Inputs!$B$9)&lt;0,0,(Inputs!$B$58*Inputs!$B$59*Inputs!$B$61+(12-Inputs!$B$58)*Inputs!$B$60*Inputs!$B$62)/(Inputs!$B$58*Inputs!$B$61+(12-Inputs!$B$58)*Inputs!$B$62)*AM25)</f>
        <v>1275.6441689082</v>
      </c>
      <c r="AN26" s="39" t="n">
        <f aca="false">IF((2062-Inputs!$B$53-Inputs!$B$9)&lt;0,0,(Inputs!$B$58*Inputs!$B$59*Inputs!$B$61+(12-Inputs!$B$58)*Inputs!$B$60*Inputs!$B$62)/(Inputs!$B$58*Inputs!$B$61+(12-Inputs!$B$58)*Inputs!$B$62)*AN25)</f>
        <v>1303.83590504107</v>
      </c>
      <c r="AO26" s="39" t="n">
        <f aca="false">IF((2063-Inputs!$B$53-Inputs!$B$9)&lt;0,0,(Inputs!$B$58*Inputs!$B$59*Inputs!$B$61+(12-Inputs!$B$58)*Inputs!$B$60*Inputs!$B$62)/(Inputs!$B$58*Inputs!$B$61+(12-Inputs!$B$58)*Inputs!$B$62)*AO25)</f>
        <v>1332.65067854248</v>
      </c>
      <c r="AP26" s="39" t="n">
        <f aca="false">IF((2064-Inputs!$B$53-Inputs!$B$9)&lt;0,0,(Inputs!$B$58*Inputs!$B$59*Inputs!$B$61+(12-Inputs!$B$58)*Inputs!$B$60*Inputs!$B$62)/(Inputs!$B$58*Inputs!$B$61+(12-Inputs!$B$58)*Inputs!$B$62)*AP25)</f>
        <v>1362.10225853826</v>
      </c>
      <c r="AQ26" s="39" t="n">
        <f aca="false">IF((2065-Inputs!$B$53-Inputs!$B$9)&lt;0,0,(Inputs!$B$58*Inputs!$B$59*Inputs!$B$61+(12-Inputs!$B$58)*Inputs!$B$60*Inputs!$B$62)/(Inputs!$B$58*Inputs!$B$61+(12-Inputs!$B$58)*Inputs!$B$62)*AQ25)</f>
        <v>1392.20471845196</v>
      </c>
      <c r="AR26" s="39" t="n">
        <f aca="false">IF((2066-Inputs!$B$53-Inputs!$B$9)&lt;0,0,(Inputs!$B$58*Inputs!$B$59*Inputs!$B$61+(12-Inputs!$B$58)*Inputs!$B$60*Inputs!$B$62)/(Inputs!$B$58*Inputs!$B$61+(12-Inputs!$B$58)*Inputs!$B$62)*AR25)</f>
        <v>1422.97244272975</v>
      </c>
      <c r="AS26" s="39" t="n">
        <f aca="false">IF((2067-Inputs!$B$53-Inputs!$B$9)&lt;0,0,(Inputs!$B$58*Inputs!$B$59*Inputs!$B$61+(12-Inputs!$B$58)*Inputs!$B$60*Inputs!$B$62)/(Inputs!$B$58*Inputs!$B$61+(12-Inputs!$B$58)*Inputs!$B$62)*AS25)</f>
        <v>1454.42013371408</v>
      </c>
      <c r="AT26" s="39" t="n">
        <f aca="false">IF((2068-Inputs!$B$53-Inputs!$B$9)&lt;0,0,(Inputs!$B$58*Inputs!$B$59*Inputs!$B$61+(12-Inputs!$B$58)*Inputs!$B$60*Inputs!$B$62)/(Inputs!$B$58*Inputs!$B$61+(12-Inputs!$B$58)*Inputs!$B$62)*AT25)</f>
        <v>1486.56281866916</v>
      </c>
      <c r="AU26" s="39" t="n">
        <f aca="false">IF((2069-Inputs!$B$53-Inputs!$B$9)&lt;0,0,(Inputs!$B$58*Inputs!$B$59*Inputs!$B$61+(12-Inputs!$B$58)*Inputs!$B$60*Inputs!$B$62)/(Inputs!$B$58*Inputs!$B$61+(12-Inputs!$B$58)*Inputs!$B$62)*AU25)</f>
        <v>1519.41585696175</v>
      </c>
      <c r="AV26" s="39" t="n">
        <f aca="false">IF((2070-Inputs!$B$53-Inputs!$B$9)&lt;0,0,(Inputs!$B$58*Inputs!$B$59*Inputs!$B$61+(12-Inputs!$B$58)*Inputs!$B$60*Inputs!$B$62)/(Inputs!$B$58*Inputs!$B$61+(12-Inputs!$B$58)*Inputs!$B$62)*AV25)</f>
        <v>1552.9949474006</v>
      </c>
      <c r="AW26" s="39" t="n">
        <f aca="false">IF((2071-Inputs!$B$53-Inputs!$B$9)&lt;0,0,(Inputs!$B$58*Inputs!$B$59*Inputs!$B$61+(12-Inputs!$B$58)*Inputs!$B$60*Inputs!$B$62)/(Inputs!$B$58*Inputs!$B$61+(12-Inputs!$B$58)*Inputs!$B$62)*AW25)</f>
        <v>1587.31613573815</v>
      </c>
      <c r="AX26" s="39" t="n">
        <f aca="false">IF((2072-Inputs!$B$53-Inputs!$B$9)&lt;0,0,(Inputs!$B$58*Inputs!$B$59*Inputs!$B$61+(12-Inputs!$B$58)*Inputs!$B$60*Inputs!$B$62)/(Inputs!$B$58*Inputs!$B$61+(12-Inputs!$B$58)*Inputs!$B$62)*AX25)</f>
        <v>1622.39582233797</v>
      </c>
      <c r="AY26" s="39" t="n">
        <f aca="false">IF((2073-Inputs!$B$53-Inputs!$B$9)&lt;0,0,(Inputs!$B$58*Inputs!$B$59*Inputs!$B$61+(12-Inputs!$B$58)*Inputs!$B$60*Inputs!$B$62)/(Inputs!$B$58*Inputs!$B$61+(12-Inputs!$B$58)*Inputs!$B$62)*AY25)</f>
        <v>1658.25077001164</v>
      </c>
      <c r="AZ26" s="39" t="n">
        <f aca="false">IF((2074-Inputs!$B$53-Inputs!$B$9)&lt;0,0,(Inputs!$B$58*Inputs!$B$59*Inputs!$B$61+(12-Inputs!$B$58)*Inputs!$B$60*Inputs!$B$62)/(Inputs!$B$58*Inputs!$B$61+(12-Inputs!$B$58)*Inputs!$B$62)*AZ25)</f>
        <v>1694.89811202889</v>
      </c>
    </row>
    <row r="27" customFormat="false" ht="15" hidden="false" customHeight="false" outlineLevel="0" collapsed="false">
      <c r="A27" s="33" t="s">
        <v>137</v>
      </c>
      <c r="D27" s="40" t="n">
        <f aca="false">IF((2026-Inputs!$B$53-Inputs!$B$9)&lt;0,0,(Inputs!$B$58*Inputs!$B$61+(12-Inputs!$B$58)*Inputs!$B$62)/12*IF((2026-Inputs!$B$53-Inputs!$B$9)=0,Inputs!$B$65,IF((2026-Inputs!$B$53-Inputs!$B$9)=1,Inputs!$B$66,1)))</f>
        <v>0</v>
      </c>
      <c r="E27" s="40" t="n">
        <f aca="false">IF((2027-Inputs!$B$53-Inputs!$B$9)&lt;0,0,(Inputs!$B$58*Inputs!$B$61+(12-Inputs!$B$58)*Inputs!$B$62)/12*IF((2027-Inputs!$B$53-Inputs!$B$9)=0,Inputs!$B$65,IF((2027-Inputs!$B$53-Inputs!$B$9)=1,Inputs!$B$66,1)))</f>
        <v>0</v>
      </c>
      <c r="F27" s="40" t="n">
        <f aca="false">IF((2028-Inputs!$B$53-Inputs!$B$9)&lt;0,0,(Inputs!$B$58*Inputs!$B$61+(12-Inputs!$B$58)*Inputs!$B$62)/12*IF((2028-Inputs!$B$53-Inputs!$B$9)=0,Inputs!$B$65,IF((2028-Inputs!$B$53-Inputs!$B$9)=1,Inputs!$B$66,1)))</f>
        <v>0</v>
      </c>
      <c r="G27" s="40" t="n">
        <f aca="false">IF((2029-Inputs!$B$53-Inputs!$B$9)&lt;0,0,(Inputs!$B$58*Inputs!$B$61+(12-Inputs!$B$58)*Inputs!$B$62)/12*IF((2029-Inputs!$B$53-Inputs!$B$9)=0,Inputs!$B$65,IF((2029-Inputs!$B$53-Inputs!$B$9)=1,Inputs!$B$66,1)))</f>
        <v>0.558083333333333</v>
      </c>
      <c r="H27" s="40" t="n">
        <f aca="false">IF((2030-Inputs!$B$53-Inputs!$B$9)&lt;0,0,(Inputs!$B$58*Inputs!$B$61+(12-Inputs!$B$58)*Inputs!$B$62)/12*IF((2030-Inputs!$B$53-Inputs!$B$9)=0,Inputs!$B$65,IF((2030-Inputs!$B$53-Inputs!$B$9)=1,Inputs!$B$66,1)))</f>
        <v>0.587066666666667</v>
      </c>
      <c r="I27" s="40" t="n">
        <f aca="false">IF((2031-Inputs!$B$53-Inputs!$B$9)&lt;0,0,(Inputs!$B$58*Inputs!$B$61+(12-Inputs!$B$58)*Inputs!$B$62)/12*IF((2031-Inputs!$B$53-Inputs!$B$9)=0,Inputs!$B$65,IF((2031-Inputs!$B$53-Inputs!$B$9)=1,Inputs!$B$66,1)))</f>
        <v>0.616666666666667</v>
      </c>
      <c r="J27" s="40" t="n">
        <f aca="false">IF((2032-Inputs!$B$53-Inputs!$B$9)&lt;0,0,(Inputs!$B$58*Inputs!$B$61+(12-Inputs!$B$58)*Inputs!$B$62)/12*IF((2032-Inputs!$B$53-Inputs!$B$9)=0,Inputs!$B$65,IF((2032-Inputs!$B$53-Inputs!$B$9)=1,Inputs!$B$66,1)))</f>
        <v>0.616666666666667</v>
      </c>
      <c r="K27" s="40" t="n">
        <f aca="false">IF((2033-Inputs!$B$53-Inputs!$B$9)&lt;0,0,(Inputs!$B$58*Inputs!$B$61+(12-Inputs!$B$58)*Inputs!$B$62)/12*IF((2033-Inputs!$B$53-Inputs!$B$9)=0,Inputs!$B$65,IF((2033-Inputs!$B$53-Inputs!$B$9)=1,Inputs!$B$66,1)))</f>
        <v>0.616666666666667</v>
      </c>
      <c r="L27" s="40" t="n">
        <f aca="false">IF((2034-Inputs!$B$53-Inputs!$B$9)&lt;0,0,(Inputs!$B$58*Inputs!$B$61+(12-Inputs!$B$58)*Inputs!$B$62)/12*IF((2034-Inputs!$B$53-Inputs!$B$9)=0,Inputs!$B$65,IF((2034-Inputs!$B$53-Inputs!$B$9)=1,Inputs!$B$66,1)))</f>
        <v>0.616666666666667</v>
      </c>
      <c r="M27" s="40" t="n">
        <f aca="false">IF((2035-Inputs!$B$53-Inputs!$B$9)&lt;0,0,(Inputs!$B$58*Inputs!$B$61+(12-Inputs!$B$58)*Inputs!$B$62)/12*IF((2035-Inputs!$B$53-Inputs!$B$9)=0,Inputs!$B$65,IF((2035-Inputs!$B$53-Inputs!$B$9)=1,Inputs!$B$66,1)))</f>
        <v>0.616666666666667</v>
      </c>
      <c r="N27" s="40" t="n">
        <f aca="false">IF((2036-Inputs!$B$53-Inputs!$B$9)&lt;0,0,(Inputs!$B$58*Inputs!$B$61+(12-Inputs!$B$58)*Inputs!$B$62)/12*IF((2036-Inputs!$B$53-Inputs!$B$9)=0,Inputs!$B$65,IF((2036-Inputs!$B$53-Inputs!$B$9)=1,Inputs!$B$66,1)))</f>
        <v>0.616666666666667</v>
      </c>
      <c r="O27" s="40" t="n">
        <f aca="false">IF((2037-Inputs!$B$53-Inputs!$B$9)&lt;0,0,(Inputs!$B$58*Inputs!$B$61+(12-Inputs!$B$58)*Inputs!$B$62)/12*IF((2037-Inputs!$B$53-Inputs!$B$9)=0,Inputs!$B$65,IF((2037-Inputs!$B$53-Inputs!$B$9)=1,Inputs!$B$66,1)))</f>
        <v>0.616666666666667</v>
      </c>
      <c r="P27" s="40" t="n">
        <f aca="false">IF((2038-Inputs!$B$53-Inputs!$B$9)&lt;0,0,(Inputs!$B$58*Inputs!$B$61+(12-Inputs!$B$58)*Inputs!$B$62)/12*IF((2038-Inputs!$B$53-Inputs!$B$9)=0,Inputs!$B$65,IF((2038-Inputs!$B$53-Inputs!$B$9)=1,Inputs!$B$66,1)))</f>
        <v>0.616666666666667</v>
      </c>
      <c r="Q27" s="40" t="n">
        <f aca="false">IF((2039-Inputs!$B$53-Inputs!$B$9)&lt;0,0,(Inputs!$B$58*Inputs!$B$61+(12-Inputs!$B$58)*Inputs!$B$62)/12*IF((2039-Inputs!$B$53-Inputs!$B$9)=0,Inputs!$B$65,IF((2039-Inputs!$B$53-Inputs!$B$9)=1,Inputs!$B$66,1)))</f>
        <v>0.616666666666667</v>
      </c>
      <c r="R27" s="40" t="n">
        <f aca="false">IF((2040-Inputs!$B$53-Inputs!$B$9)&lt;0,0,(Inputs!$B$58*Inputs!$B$61+(12-Inputs!$B$58)*Inputs!$B$62)/12*IF((2040-Inputs!$B$53-Inputs!$B$9)=0,Inputs!$B$65,IF((2040-Inputs!$B$53-Inputs!$B$9)=1,Inputs!$B$66,1)))</f>
        <v>0.616666666666667</v>
      </c>
      <c r="S27" s="40" t="n">
        <f aca="false">IF((2041-Inputs!$B$53-Inputs!$B$9)&lt;0,0,(Inputs!$B$58*Inputs!$B$61+(12-Inputs!$B$58)*Inputs!$B$62)/12*IF((2041-Inputs!$B$53-Inputs!$B$9)=0,Inputs!$B$65,IF((2041-Inputs!$B$53-Inputs!$B$9)=1,Inputs!$B$66,1)))</f>
        <v>0.616666666666667</v>
      </c>
      <c r="T27" s="40" t="n">
        <f aca="false">IF((2042-Inputs!$B$53-Inputs!$B$9)&lt;0,0,(Inputs!$B$58*Inputs!$B$61+(12-Inputs!$B$58)*Inputs!$B$62)/12*IF((2042-Inputs!$B$53-Inputs!$B$9)=0,Inputs!$B$65,IF((2042-Inputs!$B$53-Inputs!$B$9)=1,Inputs!$B$66,1)))</f>
        <v>0.616666666666667</v>
      </c>
      <c r="U27" s="40" t="n">
        <f aca="false">IF((2043-Inputs!$B$53-Inputs!$B$9)&lt;0,0,(Inputs!$B$58*Inputs!$B$61+(12-Inputs!$B$58)*Inputs!$B$62)/12*IF((2043-Inputs!$B$53-Inputs!$B$9)=0,Inputs!$B$65,IF((2043-Inputs!$B$53-Inputs!$B$9)=1,Inputs!$B$66,1)))</f>
        <v>0.616666666666667</v>
      </c>
      <c r="V27" s="40" t="n">
        <f aca="false">IF((2044-Inputs!$B$53-Inputs!$B$9)&lt;0,0,(Inputs!$B$58*Inputs!$B$61+(12-Inputs!$B$58)*Inputs!$B$62)/12*IF((2044-Inputs!$B$53-Inputs!$B$9)=0,Inputs!$B$65,IF((2044-Inputs!$B$53-Inputs!$B$9)=1,Inputs!$B$66,1)))</f>
        <v>0.616666666666667</v>
      </c>
      <c r="W27" s="40" t="n">
        <f aca="false">IF((2045-Inputs!$B$53-Inputs!$B$9)&lt;0,0,(Inputs!$B$58*Inputs!$B$61+(12-Inputs!$B$58)*Inputs!$B$62)/12*IF((2045-Inputs!$B$53-Inputs!$B$9)=0,Inputs!$B$65,IF((2045-Inputs!$B$53-Inputs!$B$9)=1,Inputs!$B$66,1)))</f>
        <v>0.616666666666667</v>
      </c>
      <c r="X27" s="40" t="n">
        <f aca="false">IF((2046-Inputs!$B$53-Inputs!$B$9)&lt;0,0,(Inputs!$B$58*Inputs!$B$61+(12-Inputs!$B$58)*Inputs!$B$62)/12*IF((2046-Inputs!$B$53-Inputs!$B$9)=0,Inputs!$B$65,IF((2046-Inputs!$B$53-Inputs!$B$9)=1,Inputs!$B$66,1)))</f>
        <v>0.616666666666667</v>
      </c>
      <c r="Y27" s="40" t="n">
        <f aca="false">IF((2047-Inputs!$B$53-Inputs!$B$9)&lt;0,0,(Inputs!$B$58*Inputs!$B$61+(12-Inputs!$B$58)*Inputs!$B$62)/12*IF((2047-Inputs!$B$53-Inputs!$B$9)=0,Inputs!$B$65,IF((2047-Inputs!$B$53-Inputs!$B$9)=1,Inputs!$B$66,1)))</f>
        <v>0.616666666666667</v>
      </c>
      <c r="Z27" s="40" t="n">
        <f aca="false">IF((2048-Inputs!$B$53-Inputs!$B$9)&lt;0,0,(Inputs!$B$58*Inputs!$B$61+(12-Inputs!$B$58)*Inputs!$B$62)/12*IF((2048-Inputs!$B$53-Inputs!$B$9)=0,Inputs!$B$65,IF((2048-Inputs!$B$53-Inputs!$B$9)=1,Inputs!$B$66,1)))</f>
        <v>0.616666666666667</v>
      </c>
      <c r="AA27" s="40" t="n">
        <f aca="false">IF((2049-Inputs!$B$53-Inputs!$B$9)&lt;0,0,(Inputs!$B$58*Inputs!$B$61+(12-Inputs!$B$58)*Inputs!$B$62)/12*IF((2049-Inputs!$B$53-Inputs!$B$9)=0,Inputs!$B$65,IF((2049-Inputs!$B$53-Inputs!$B$9)=1,Inputs!$B$66,1)))</f>
        <v>0.616666666666667</v>
      </c>
      <c r="AB27" s="40" t="n">
        <f aca="false">IF((2050-Inputs!$B$53-Inputs!$B$9)&lt;0,0,(Inputs!$B$58*Inputs!$B$61+(12-Inputs!$B$58)*Inputs!$B$62)/12*IF((2050-Inputs!$B$53-Inputs!$B$9)=0,Inputs!$B$65,IF((2050-Inputs!$B$53-Inputs!$B$9)=1,Inputs!$B$66,1)))</f>
        <v>0.616666666666667</v>
      </c>
      <c r="AC27" s="40" t="n">
        <f aca="false">IF((2051-Inputs!$B$53-Inputs!$B$9)&lt;0,0,(Inputs!$B$58*Inputs!$B$61+(12-Inputs!$B$58)*Inputs!$B$62)/12*IF((2051-Inputs!$B$53-Inputs!$B$9)=0,Inputs!$B$65,IF((2051-Inputs!$B$53-Inputs!$B$9)=1,Inputs!$B$66,1)))</f>
        <v>0.616666666666667</v>
      </c>
      <c r="AD27" s="40" t="n">
        <f aca="false">IF((2052-Inputs!$B$53-Inputs!$B$9)&lt;0,0,(Inputs!$B$58*Inputs!$B$61+(12-Inputs!$B$58)*Inputs!$B$62)/12*IF((2052-Inputs!$B$53-Inputs!$B$9)=0,Inputs!$B$65,IF((2052-Inputs!$B$53-Inputs!$B$9)=1,Inputs!$B$66,1)))</f>
        <v>0.616666666666667</v>
      </c>
      <c r="AE27" s="40" t="n">
        <f aca="false">IF((2053-Inputs!$B$53-Inputs!$B$9)&lt;0,0,(Inputs!$B$58*Inputs!$B$61+(12-Inputs!$B$58)*Inputs!$B$62)/12*IF((2053-Inputs!$B$53-Inputs!$B$9)=0,Inputs!$B$65,IF((2053-Inputs!$B$53-Inputs!$B$9)=1,Inputs!$B$66,1)))</f>
        <v>0.616666666666667</v>
      </c>
      <c r="AF27" s="40" t="n">
        <f aca="false">IF((2054-Inputs!$B$53-Inputs!$B$9)&lt;0,0,(Inputs!$B$58*Inputs!$B$61+(12-Inputs!$B$58)*Inputs!$B$62)/12*IF((2054-Inputs!$B$53-Inputs!$B$9)=0,Inputs!$B$65,IF((2054-Inputs!$B$53-Inputs!$B$9)=1,Inputs!$B$66,1)))</f>
        <v>0.616666666666667</v>
      </c>
      <c r="AG27" s="40" t="n">
        <f aca="false">IF((2055-Inputs!$B$53-Inputs!$B$9)&lt;0,0,(Inputs!$B$58*Inputs!$B$61+(12-Inputs!$B$58)*Inputs!$B$62)/12*IF((2055-Inputs!$B$53-Inputs!$B$9)=0,Inputs!$B$65,IF((2055-Inputs!$B$53-Inputs!$B$9)=1,Inputs!$B$66,1)))</f>
        <v>0.616666666666667</v>
      </c>
      <c r="AH27" s="40" t="n">
        <f aca="false">IF((2056-Inputs!$B$53-Inputs!$B$9)&lt;0,0,(Inputs!$B$58*Inputs!$B$61+(12-Inputs!$B$58)*Inputs!$B$62)/12*IF((2056-Inputs!$B$53-Inputs!$B$9)=0,Inputs!$B$65,IF((2056-Inputs!$B$53-Inputs!$B$9)=1,Inputs!$B$66,1)))</f>
        <v>0.616666666666667</v>
      </c>
      <c r="AI27" s="40" t="n">
        <f aca="false">IF((2057-Inputs!$B$53-Inputs!$B$9)&lt;0,0,(Inputs!$B$58*Inputs!$B$61+(12-Inputs!$B$58)*Inputs!$B$62)/12*IF((2057-Inputs!$B$53-Inputs!$B$9)=0,Inputs!$B$65,IF((2057-Inputs!$B$53-Inputs!$B$9)=1,Inputs!$B$66,1)))</f>
        <v>0.616666666666667</v>
      </c>
      <c r="AJ27" s="40" t="n">
        <f aca="false">IF((2058-Inputs!$B$53-Inputs!$B$9)&lt;0,0,(Inputs!$B$58*Inputs!$B$61+(12-Inputs!$B$58)*Inputs!$B$62)/12*IF((2058-Inputs!$B$53-Inputs!$B$9)=0,Inputs!$B$65,IF((2058-Inputs!$B$53-Inputs!$B$9)=1,Inputs!$B$66,1)))</f>
        <v>0.616666666666667</v>
      </c>
      <c r="AK27" s="40" t="n">
        <f aca="false">IF((2059-Inputs!$B$53-Inputs!$B$9)&lt;0,0,(Inputs!$B$58*Inputs!$B$61+(12-Inputs!$B$58)*Inputs!$B$62)/12*IF((2059-Inputs!$B$53-Inputs!$B$9)=0,Inputs!$B$65,IF((2059-Inputs!$B$53-Inputs!$B$9)=1,Inputs!$B$66,1)))</f>
        <v>0.616666666666667</v>
      </c>
      <c r="AL27" s="40" t="n">
        <f aca="false">IF((2060-Inputs!$B$53-Inputs!$B$9)&lt;0,0,(Inputs!$B$58*Inputs!$B$61+(12-Inputs!$B$58)*Inputs!$B$62)/12*IF((2060-Inputs!$B$53-Inputs!$B$9)=0,Inputs!$B$65,IF((2060-Inputs!$B$53-Inputs!$B$9)=1,Inputs!$B$66,1)))</f>
        <v>0.616666666666667</v>
      </c>
      <c r="AM27" s="40" t="n">
        <f aca="false">IF((2061-Inputs!$B$53-Inputs!$B$9)&lt;0,0,(Inputs!$B$58*Inputs!$B$61+(12-Inputs!$B$58)*Inputs!$B$62)/12*IF((2061-Inputs!$B$53-Inputs!$B$9)=0,Inputs!$B$65,IF((2061-Inputs!$B$53-Inputs!$B$9)=1,Inputs!$B$66,1)))</f>
        <v>0.616666666666667</v>
      </c>
      <c r="AN27" s="40" t="n">
        <f aca="false">IF((2062-Inputs!$B$53-Inputs!$B$9)&lt;0,0,(Inputs!$B$58*Inputs!$B$61+(12-Inputs!$B$58)*Inputs!$B$62)/12*IF((2062-Inputs!$B$53-Inputs!$B$9)=0,Inputs!$B$65,IF((2062-Inputs!$B$53-Inputs!$B$9)=1,Inputs!$B$66,1)))</f>
        <v>0.616666666666667</v>
      </c>
      <c r="AO27" s="40" t="n">
        <f aca="false">IF((2063-Inputs!$B$53-Inputs!$B$9)&lt;0,0,(Inputs!$B$58*Inputs!$B$61+(12-Inputs!$B$58)*Inputs!$B$62)/12*IF((2063-Inputs!$B$53-Inputs!$B$9)=0,Inputs!$B$65,IF((2063-Inputs!$B$53-Inputs!$B$9)=1,Inputs!$B$66,1)))</f>
        <v>0.616666666666667</v>
      </c>
      <c r="AP27" s="40" t="n">
        <f aca="false">IF((2064-Inputs!$B$53-Inputs!$B$9)&lt;0,0,(Inputs!$B$58*Inputs!$B$61+(12-Inputs!$B$58)*Inputs!$B$62)/12*IF((2064-Inputs!$B$53-Inputs!$B$9)=0,Inputs!$B$65,IF((2064-Inputs!$B$53-Inputs!$B$9)=1,Inputs!$B$66,1)))</f>
        <v>0.616666666666667</v>
      </c>
      <c r="AQ27" s="40" t="n">
        <f aca="false">IF((2065-Inputs!$B$53-Inputs!$B$9)&lt;0,0,(Inputs!$B$58*Inputs!$B$61+(12-Inputs!$B$58)*Inputs!$B$62)/12*IF((2065-Inputs!$B$53-Inputs!$B$9)=0,Inputs!$B$65,IF((2065-Inputs!$B$53-Inputs!$B$9)=1,Inputs!$B$66,1)))</f>
        <v>0.616666666666667</v>
      </c>
      <c r="AR27" s="40" t="n">
        <f aca="false">IF((2066-Inputs!$B$53-Inputs!$B$9)&lt;0,0,(Inputs!$B$58*Inputs!$B$61+(12-Inputs!$B$58)*Inputs!$B$62)/12*IF((2066-Inputs!$B$53-Inputs!$B$9)=0,Inputs!$B$65,IF((2066-Inputs!$B$53-Inputs!$B$9)=1,Inputs!$B$66,1)))</f>
        <v>0.616666666666667</v>
      </c>
      <c r="AS27" s="40" t="n">
        <f aca="false">IF((2067-Inputs!$B$53-Inputs!$B$9)&lt;0,0,(Inputs!$B$58*Inputs!$B$61+(12-Inputs!$B$58)*Inputs!$B$62)/12*IF((2067-Inputs!$B$53-Inputs!$B$9)=0,Inputs!$B$65,IF((2067-Inputs!$B$53-Inputs!$B$9)=1,Inputs!$B$66,1)))</f>
        <v>0.616666666666667</v>
      </c>
      <c r="AT27" s="40" t="n">
        <f aca="false">IF((2068-Inputs!$B$53-Inputs!$B$9)&lt;0,0,(Inputs!$B$58*Inputs!$B$61+(12-Inputs!$B$58)*Inputs!$B$62)/12*IF((2068-Inputs!$B$53-Inputs!$B$9)=0,Inputs!$B$65,IF((2068-Inputs!$B$53-Inputs!$B$9)=1,Inputs!$B$66,1)))</f>
        <v>0.616666666666667</v>
      </c>
      <c r="AU27" s="40" t="n">
        <f aca="false">IF((2069-Inputs!$B$53-Inputs!$B$9)&lt;0,0,(Inputs!$B$58*Inputs!$B$61+(12-Inputs!$B$58)*Inputs!$B$62)/12*IF((2069-Inputs!$B$53-Inputs!$B$9)=0,Inputs!$B$65,IF((2069-Inputs!$B$53-Inputs!$B$9)=1,Inputs!$B$66,1)))</f>
        <v>0.616666666666667</v>
      </c>
      <c r="AV27" s="40" t="n">
        <f aca="false">IF((2070-Inputs!$B$53-Inputs!$B$9)&lt;0,0,(Inputs!$B$58*Inputs!$B$61+(12-Inputs!$B$58)*Inputs!$B$62)/12*IF((2070-Inputs!$B$53-Inputs!$B$9)=0,Inputs!$B$65,IF((2070-Inputs!$B$53-Inputs!$B$9)=1,Inputs!$B$66,1)))</f>
        <v>0.616666666666667</v>
      </c>
      <c r="AW27" s="40" t="n">
        <f aca="false">IF((2071-Inputs!$B$53-Inputs!$B$9)&lt;0,0,(Inputs!$B$58*Inputs!$B$61+(12-Inputs!$B$58)*Inputs!$B$62)/12*IF((2071-Inputs!$B$53-Inputs!$B$9)=0,Inputs!$B$65,IF((2071-Inputs!$B$53-Inputs!$B$9)=1,Inputs!$B$66,1)))</f>
        <v>0.616666666666667</v>
      </c>
      <c r="AX27" s="40" t="n">
        <f aca="false">IF((2072-Inputs!$B$53-Inputs!$B$9)&lt;0,0,(Inputs!$B$58*Inputs!$B$61+(12-Inputs!$B$58)*Inputs!$B$62)/12*IF((2072-Inputs!$B$53-Inputs!$B$9)=0,Inputs!$B$65,IF((2072-Inputs!$B$53-Inputs!$B$9)=1,Inputs!$B$66,1)))</f>
        <v>0.616666666666667</v>
      </c>
      <c r="AY27" s="40" t="n">
        <f aca="false">IF((2073-Inputs!$B$53-Inputs!$B$9)&lt;0,0,(Inputs!$B$58*Inputs!$B$61+(12-Inputs!$B$58)*Inputs!$B$62)/12*IF((2073-Inputs!$B$53-Inputs!$B$9)=0,Inputs!$B$65,IF((2073-Inputs!$B$53-Inputs!$B$9)=1,Inputs!$B$66,1)))</f>
        <v>0.616666666666667</v>
      </c>
      <c r="AZ27" s="40" t="n">
        <f aca="false">IF((2074-Inputs!$B$53-Inputs!$B$9)&lt;0,0,(Inputs!$B$58*Inputs!$B$61+(12-Inputs!$B$58)*Inputs!$B$62)/12*IF((2074-Inputs!$B$53-Inputs!$B$9)=0,Inputs!$B$65,IF((2074-Inputs!$B$53-Inputs!$B$9)=1,Inputs!$B$66,1)))</f>
        <v>0.616666666666667</v>
      </c>
    </row>
    <row r="28" customFormat="false" ht="15" hidden="false" customHeight="false" outlineLevel="0" collapsed="false">
      <c r="A28" s="33" t="s">
        <v>50</v>
      </c>
      <c r="D28" s="39" t="n">
        <f aca="false">D26*D27</f>
        <v>0</v>
      </c>
      <c r="E28" s="39" t="n">
        <f aca="false">E26*E27</f>
        <v>0</v>
      </c>
      <c r="F28" s="39" t="n">
        <f aca="false">F26*F27</f>
        <v>0</v>
      </c>
      <c r="G28" s="39" t="n">
        <f aca="false">G26*G27</f>
        <v>353.704166666667</v>
      </c>
      <c r="H28" s="39" t="n">
        <f aca="false">H26*H27</f>
        <v>380.296154</v>
      </c>
      <c r="I28" s="39" t="n">
        <f aca="false">I26*I27</f>
        <v>408.299053575</v>
      </c>
      <c r="J28" s="39" t="n">
        <f aca="false">J26*J27</f>
        <v>417.322462659008</v>
      </c>
      <c r="K28" s="39" t="n">
        <f aca="false">K26*K27</f>
        <v>426.545289083772</v>
      </c>
      <c r="L28" s="39" t="n">
        <f aca="false">L26*L27</f>
        <v>435.971939972523</v>
      </c>
      <c r="M28" s="39" t="n">
        <f aca="false">M26*M27</f>
        <v>445.606919845916</v>
      </c>
      <c r="N28" s="39" t="n">
        <f aca="false">N26*N27</f>
        <v>455.45483277451</v>
      </c>
      <c r="O28" s="39" t="n">
        <f aca="false">O26*O27</f>
        <v>465.520384578827</v>
      </c>
      <c r="P28" s="39" t="n">
        <f aca="false">P26*P27</f>
        <v>475.808385078019</v>
      </c>
      <c r="Q28" s="39" t="n">
        <f aca="false">Q26*Q27</f>
        <v>486.323750388243</v>
      </c>
      <c r="R28" s="39" t="n">
        <f aca="false">R26*R27</f>
        <v>497.071505271824</v>
      </c>
      <c r="S28" s="39" t="n">
        <f aca="false">S26*S27</f>
        <v>508.056785538331</v>
      </c>
      <c r="T28" s="39" t="n">
        <f aca="false">T26*T27</f>
        <v>519.284840498728</v>
      </c>
      <c r="U28" s="39" t="n">
        <f aca="false">U26*U27</f>
        <v>530.76103547375</v>
      </c>
      <c r="V28" s="39" t="n">
        <f aca="false">V26*V27</f>
        <v>542.49085435772</v>
      </c>
      <c r="W28" s="39" t="n">
        <f aca="false">W26*W27</f>
        <v>554.479902239026</v>
      </c>
      <c r="X28" s="39" t="n">
        <f aca="false">X26*X27</f>
        <v>566.733908078508</v>
      </c>
      <c r="Y28" s="39" t="n">
        <f aca="false">Y26*Y27</f>
        <v>579.258727447043</v>
      </c>
      <c r="Z28" s="39" t="n">
        <f aca="false">Z26*Z27</f>
        <v>592.060345323623</v>
      </c>
      <c r="AA28" s="39" t="n">
        <f aca="false">AA26*AA27</f>
        <v>605.144878955275</v>
      </c>
      <c r="AB28" s="39" t="n">
        <f aca="false">AB26*AB27</f>
        <v>618.518580780186</v>
      </c>
      <c r="AC28" s="39" t="n">
        <f aca="false">AC26*AC27</f>
        <v>632.187841415429</v>
      </c>
      <c r="AD28" s="39" t="n">
        <f aca="false">AD26*AD27</f>
        <v>646.159192710709</v>
      </c>
      <c r="AE28" s="39" t="n">
        <f aca="false">AE26*AE27</f>
        <v>660.439310869616</v>
      </c>
      <c r="AF28" s="39" t="n">
        <f aca="false">AF26*AF27</f>
        <v>675.035019639834</v>
      </c>
      <c r="AG28" s="39" t="n">
        <f aca="false">AG26*AG27</f>
        <v>689.953293573875</v>
      </c>
      <c r="AH28" s="39" t="n">
        <f aca="false">AH26*AH27</f>
        <v>705.201261361857</v>
      </c>
      <c r="AI28" s="39" t="n">
        <f aca="false">AI26*AI27</f>
        <v>720.786209237955</v>
      </c>
      <c r="AJ28" s="39" t="n">
        <f aca="false">AJ26*AJ27</f>
        <v>736.715584462113</v>
      </c>
      <c r="AK28" s="39" t="n">
        <f aca="false">AK26*AK27</f>
        <v>752.996998878726</v>
      </c>
      <c r="AL28" s="39" t="n">
        <f aca="false">AL26*AL27</f>
        <v>769.638232553946</v>
      </c>
      <c r="AM28" s="39" t="n">
        <f aca="false">AM26*AM27</f>
        <v>786.647237493388</v>
      </c>
      <c r="AN28" s="39" t="n">
        <f aca="false">AN26*AN27</f>
        <v>804.032141441992</v>
      </c>
      <c r="AO28" s="39" t="n">
        <f aca="false">AO26*AO27</f>
        <v>821.80125176786</v>
      </c>
      <c r="AP28" s="39" t="n">
        <f aca="false">AP26*AP27</f>
        <v>839.96305943193</v>
      </c>
      <c r="AQ28" s="39" t="n">
        <f aca="false">AQ26*AQ27</f>
        <v>858.526243045375</v>
      </c>
      <c r="AR28" s="39" t="n">
        <f aca="false">AR26*AR27</f>
        <v>877.499673016678</v>
      </c>
      <c r="AS28" s="39" t="n">
        <f aca="false">AS26*AS27</f>
        <v>896.892415790347</v>
      </c>
      <c r="AT28" s="39" t="n">
        <f aca="false">AT26*AT27</f>
        <v>916.713738179314</v>
      </c>
      <c r="AU28" s="39" t="n">
        <f aca="false">AU26*AU27</f>
        <v>936.973111793076</v>
      </c>
      <c r="AV28" s="39" t="n">
        <f aca="false">AV26*AV27</f>
        <v>957.680217563703</v>
      </c>
      <c r="AW28" s="39" t="n">
        <f aca="false">AW26*AW27</f>
        <v>978.844950371861</v>
      </c>
      <c r="AX28" s="39" t="n">
        <f aca="false">AX26*AX27</f>
        <v>1000.47742377508</v>
      </c>
      <c r="AY28" s="39" t="n">
        <f aca="false">AY26*AY27</f>
        <v>1022.58797484051</v>
      </c>
      <c r="AZ28" s="39" t="n">
        <f aca="false">AZ26*AZ27</f>
        <v>1045.18716908448</v>
      </c>
    </row>
    <row r="29" customFormat="false" ht="15" hidden="false" customHeight="false" outlineLevel="0" collapsed="false">
      <c r="A29" s="33" t="s">
        <v>138</v>
      </c>
      <c r="D29" s="38" t="n">
        <f aca="false">IF((2026-Inputs!$B$53-Inputs!$B$9)&lt;0,0,IF((2026-Inputs!$B$53-Inputs!$B$9)=0,Inputs!$B$54*Inputs!$B$65,IF((2026-Inputs!$B$53-Inputs!$B$9)=1,Inputs!$B$66,1)))</f>
        <v>0</v>
      </c>
      <c r="E29" s="38" t="n">
        <f aca="false">IF((2027-Inputs!$B$53-Inputs!$B$9)&lt;0,0,IF((2027-Inputs!$B$53-Inputs!$B$9)=0,Inputs!$B$54*Inputs!$B$65,IF((2027-Inputs!$B$53-Inputs!$B$9)=1,Inputs!$B$66,1)))</f>
        <v>0</v>
      </c>
      <c r="F29" s="38" t="n">
        <f aca="false">IF((2028-Inputs!$B$53-Inputs!$B$9)&lt;0,0,IF((2028-Inputs!$B$53-Inputs!$B$9)=0,Inputs!$B$54*Inputs!$B$65,IF((2028-Inputs!$B$53-Inputs!$B$9)=1,Inputs!$B$66,1)))</f>
        <v>0</v>
      </c>
      <c r="G29" s="38" t="n">
        <f aca="false">IF((2029-Inputs!$B$53-Inputs!$B$9)&lt;0,0,IF((2029-Inputs!$B$53-Inputs!$B$9)=0,Inputs!$B$54*Inputs!$B$65,IF((2029-Inputs!$B$53-Inputs!$B$9)=1,Inputs!$B$66,1)))</f>
        <v>0.4525</v>
      </c>
      <c r="H29" s="38" t="n">
        <f aca="false">IF((2030-Inputs!$B$53-Inputs!$B$9)&lt;0,0,IF((2030-Inputs!$B$53-Inputs!$B$9)=0,Inputs!$B$54*Inputs!$B$65,IF((2030-Inputs!$B$53-Inputs!$B$9)=1,Inputs!$B$66,1)))</f>
        <v>0.952</v>
      </c>
      <c r="I29" s="38" t="n">
        <f aca="false">IF((2031-Inputs!$B$53-Inputs!$B$9)&lt;0,0,IF((2031-Inputs!$B$53-Inputs!$B$9)=0,Inputs!$B$54*Inputs!$B$65,IF((2031-Inputs!$B$53-Inputs!$B$9)=1,Inputs!$B$66,1)))</f>
        <v>1</v>
      </c>
      <c r="J29" s="38" t="n">
        <f aca="false">IF((2032-Inputs!$B$53-Inputs!$B$9)&lt;0,0,IF((2032-Inputs!$B$53-Inputs!$B$9)=0,Inputs!$B$54*Inputs!$B$65,IF((2032-Inputs!$B$53-Inputs!$B$9)=1,Inputs!$B$66,1)))</f>
        <v>1</v>
      </c>
      <c r="K29" s="38" t="n">
        <f aca="false">IF((2033-Inputs!$B$53-Inputs!$B$9)&lt;0,0,IF((2033-Inputs!$B$53-Inputs!$B$9)=0,Inputs!$B$54*Inputs!$B$65,IF((2033-Inputs!$B$53-Inputs!$B$9)=1,Inputs!$B$66,1)))</f>
        <v>1</v>
      </c>
      <c r="L29" s="38" t="n">
        <f aca="false">IF((2034-Inputs!$B$53-Inputs!$B$9)&lt;0,0,IF((2034-Inputs!$B$53-Inputs!$B$9)=0,Inputs!$B$54*Inputs!$B$65,IF((2034-Inputs!$B$53-Inputs!$B$9)=1,Inputs!$B$66,1)))</f>
        <v>1</v>
      </c>
      <c r="M29" s="38" t="n">
        <f aca="false">IF((2035-Inputs!$B$53-Inputs!$B$9)&lt;0,0,IF((2035-Inputs!$B$53-Inputs!$B$9)=0,Inputs!$B$54*Inputs!$B$65,IF((2035-Inputs!$B$53-Inputs!$B$9)=1,Inputs!$B$66,1)))</f>
        <v>1</v>
      </c>
      <c r="N29" s="38" t="n">
        <f aca="false">IF((2036-Inputs!$B$53-Inputs!$B$9)&lt;0,0,IF((2036-Inputs!$B$53-Inputs!$B$9)=0,Inputs!$B$54*Inputs!$B$65,IF((2036-Inputs!$B$53-Inputs!$B$9)=1,Inputs!$B$66,1)))</f>
        <v>1</v>
      </c>
      <c r="O29" s="38" t="n">
        <f aca="false">IF((2037-Inputs!$B$53-Inputs!$B$9)&lt;0,0,IF((2037-Inputs!$B$53-Inputs!$B$9)=0,Inputs!$B$54*Inputs!$B$65,IF((2037-Inputs!$B$53-Inputs!$B$9)=1,Inputs!$B$66,1)))</f>
        <v>1</v>
      </c>
      <c r="P29" s="38" t="n">
        <f aca="false">IF((2038-Inputs!$B$53-Inputs!$B$9)&lt;0,0,IF((2038-Inputs!$B$53-Inputs!$B$9)=0,Inputs!$B$54*Inputs!$B$65,IF((2038-Inputs!$B$53-Inputs!$B$9)=1,Inputs!$B$66,1)))</f>
        <v>1</v>
      </c>
      <c r="Q29" s="38" t="n">
        <f aca="false">IF((2039-Inputs!$B$53-Inputs!$B$9)&lt;0,0,IF((2039-Inputs!$B$53-Inputs!$B$9)=0,Inputs!$B$54*Inputs!$B$65,IF((2039-Inputs!$B$53-Inputs!$B$9)=1,Inputs!$B$66,1)))</f>
        <v>1</v>
      </c>
      <c r="R29" s="38" t="n">
        <f aca="false">IF((2040-Inputs!$B$53-Inputs!$B$9)&lt;0,0,IF((2040-Inputs!$B$53-Inputs!$B$9)=0,Inputs!$B$54*Inputs!$B$65,IF((2040-Inputs!$B$53-Inputs!$B$9)=1,Inputs!$B$66,1)))</f>
        <v>1</v>
      </c>
      <c r="S29" s="38" t="n">
        <f aca="false">IF((2041-Inputs!$B$53-Inputs!$B$9)&lt;0,0,IF((2041-Inputs!$B$53-Inputs!$B$9)=0,Inputs!$B$54*Inputs!$B$65,IF((2041-Inputs!$B$53-Inputs!$B$9)=1,Inputs!$B$66,1)))</f>
        <v>1</v>
      </c>
      <c r="T29" s="38" t="n">
        <f aca="false">IF((2042-Inputs!$B$53-Inputs!$B$9)&lt;0,0,IF((2042-Inputs!$B$53-Inputs!$B$9)=0,Inputs!$B$54*Inputs!$B$65,IF((2042-Inputs!$B$53-Inputs!$B$9)=1,Inputs!$B$66,1)))</f>
        <v>1</v>
      </c>
      <c r="U29" s="38" t="n">
        <f aca="false">IF((2043-Inputs!$B$53-Inputs!$B$9)&lt;0,0,IF((2043-Inputs!$B$53-Inputs!$B$9)=0,Inputs!$B$54*Inputs!$B$65,IF((2043-Inputs!$B$53-Inputs!$B$9)=1,Inputs!$B$66,1)))</f>
        <v>1</v>
      </c>
      <c r="V29" s="38" t="n">
        <f aca="false">IF((2044-Inputs!$B$53-Inputs!$B$9)&lt;0,0,IF((2044-Inputs!$B$53-Inputs!$B$9)=0,Inputs!$B$54*Inputs!$B$65,IF((2044-Inputs!$B$53-Inputs!$B$9)=1,Inputs!$B$66,1)))</f>
        <v>1</v>
      </c>
      <c r="W29" s="38" t="n">
        <f aca="false">IF((2045-Inputs!$B$53-Inputs!$B$9)&lt;0,0,IF((2045-Inputs!$B$53-Inputs!$B$9)=0,Inputs!$B$54*Inputs!$B$65,IF((2045-Inputs!$B$53-Inputs!$B$9)=1,Inputs!$B$66,1)))</f>
        <v>1</v>
      </c>
      <c r="X29" s="38" t="n">
        <f aca="false">IF((2046-Inputs!$B$53-Inputs!$B$9)&lt;0,0,IF((2046-Inputs!$B$53-Inputs!$B$9)=0,Inputs!$B$54*Inputs!$B$65,IF((2046-Inputs!$B$53-Inputs!$B$9)=1,Inputs!$B$66,1)))</f>
        <v>1</v>
      </c>
      <c r="Y29" s="38" t="n">
        <f aca="false">IF((2047-Inputs!$B$53-Inputs!$B$9)&lt;0,0,IF((2047-Inputs!$B$53-Inputs!$B$9)=0,Inputs!$B$54*Inputs!$B$65,IF((2047-Inputs!$B$53-Inputs!$B$9)=1,Inputs!$B$66,1)))</f>
        <v>1</v>
      </c>
      <c r="Z29" s="38" t="n">
        <f aca="false">IF((2048-Inputs!$B$53-Inputs!$B$9)&lt;0,0,IF((2048-Inputs!$B$53-Inputs!$B$9)=0,Inputs!$B$54*Inputs!$B$65,IF((2048-Inputs!$B$53-Inputs!$B$9)=1,Inputs!$B$66,1)))</f>
        <v>1</v>
      </c>
      <c r="AA29" s="38" t="n">
        <f aca="false">IF((2049-Inputs!$B$53-Inputs!$B$9)&lt;0,0,IF((2049-Inputs!$B$53-Inputs!$B$9)=0,Inputs!$B$54*Inputs!$B$65,IF((2049-Inputs!$B$53-Inputs!$B$9)=1,Inputs!$B$66,1)))</f>
        <v>1</v>
      </c>
      <c r="AB29" s="38" t="n">
        <f aca="false">IF((2050-Inputs!$B$53-Inputs!$B$9)&lt;0,0,IF((2050-Inputs!$B$53-Inputs!$B$9)=0,Inputs!$B$54*Inputs!$B$65,IF((2050-Inputs!$B$53-Inputs!$B$9)=1,Inputs!$B$66,1)))</f>
        <v>1</v>
      </c>
      <c r="AC29" s="38" t="n">
        <f aca="false">IF((2051-Inputs!$B$53-Inputs!$B$9)&lt;0,0,IF((2051-Inputs!$B$53-Inputs!$B$9)=0,Inputs!$B$54*Inputs!$B$65,IF((2051-Inputs!$B$53-Inputs!$B$9)=1,Inputs!$B$66,1)))</f>
        <v>1</v>
      </c>
      <c r="AD29" s="38" t="n">
        <f aca="false">IF((2052-Inputs!$B$53-Inputs!$B$9)&lt;0,0,IF((2052-Inputs!$B$53-Inputs!$B$9)=0,Inputs!$B$54*Inputs!$B$65,IF((2052-Inputs!$B$53-Inputs!$B$9)=1,Inputs!$B$66,1)))</f>
        <v>1</v>
      </c>
      <c r="AE29" s="38" t="n">
        <f aca="false">IF((2053-Inputs!$B$53-Inputs!$B$9)&lt;0,0,IF((2053-Inputs!$B$53-Inputs!$B$9)=0,Inputs!$B$54*Inputs!$B$65,IF((2053-Inputs!$B$53-Inputs!$B$9)=1,Inputs!$B$66,1)))</f>
        <v>1</v>
      </c>
      <c r="AF29" s="38" t="n">
        <f aca="false">IF((2054-Inputs!$B$53-Inputs!$B$9)&lt;0,0,IF((2054-Inputs!$B$53-Inputs!$B$9)=0,Inputs!$B$54*Inputs!$B$65,IF((2054-Inputs!$B$53-Inputs!$B$9)=1,Inputs!$B$66,1)))</f>
        <v>1</v>
      </c>
      <c r="AG29" s="38" t="n">
        <f aca="false">IF((2055-Inputs!$B$53-Inputs!$B$9)&lt;0,0,IF((2055-Inputs!$B$53-Inputs!$B$9)=0,Inputs!$B$54*Inputs!$B$65,IF((2055-Inputs!$B$53-Inputs!$B$9)=1,Inputs!$B$66,1)))</f>
        <v>1</v>
      </c>
      <c r="AH29" s="38" t="n">
        <f aca="false">IF((2056-Inputs!$B$53-Inputs!$B$9)&lt;0,0,IF((2056-Inputs!$B$53-Inputs!$B$9)=0,Inputs!$B$54*Inputs!$B$65,IF((2056-Inputs!$B$53-Inputs!$B$9)=1,Inputs!$B$66,1)))</f>
        <v>1</v>
      </c>
      <c r="AI29" s="38" t="n">
        <f aca="false">IF((2057-Inputs!$B$53-Inputs!$B$9)&lt;0,0,IF((2057-Inputs!$B$53-Inputs!$B$9)=0,Inputs!$B$54*Inputs!$B$65,IF((2057-Inputs!$B$53-Inputs!$B$9)=1,Inputs!$B$66,1)))</f>
        <v>1</v>
      </c>
      <c r="AJ29" s="38" t="n">
        <f aca="false">IF((2058-Inputs!$B$53-Inputs!$B$9)&lt;0,0,IF((2058-Inputs!$B$53-Inputs!$B$9)=0,Inputs!$B$54*Inputs!$B$65,IF((2058-Inputs!$B$53-Inputs!$B$9)=1,Inputs!$B$66,1)))</f>
        <v>1</v>
      </c>
      <c r="AK29" s="38" t="n">
        <f aca="false">IF((2059-Inputs!$B$53-Inputs!$B$9)&lt;0,0,IF((2059-Inputs!$B$53-Inputs!$B$9)=0,Inputs!$B$54*Inputs!$B$65,IF((2059-Inputs!$B$53-Inputs!$B$9)=1,Inputs!$B$66,1)))</f>
        <v>1</v>
      </c>
      <c r="AL29" s="38" t="n">
        <f aca="false">IF((2060-Inputs!$B$53-Inputs!$B$9)&lt;0,0,IF((2060-Inputs!$B$53-Inputs!$B$9)=0,Inputs!$B$54*Inputs!$B$65,IF((2060-Inputs!$B$53-Inputs!$B$9)=1,Inputs!$B$66,1)))</f>
        <v>1</v>
      </c>
      <c r="AM29" s="38" t="n">
        <f aca="false">IF((2061-Inputs!$B$53-Inputs!$B$9)&lt;0,0,IF((2061-Inputs!$B$53-Inputs!$B$9)=0,Inputs!$B$54*Inputs!$B$65,IF((2061-Inputs!$B$53-Inputs!$B$9)=1,Inputs!$B$66,1)))</f>
        <v>1</v>
      </c>
      <c r="AN29" s="38" t="n">
        <f aca="false">IF((2062-Inputs!$B$53-Inputs!$B$9)&lt;0,0,IF((2062-Inputs!$B$53-Inputs!$B$9)=0,Inputs!$B$54*Inputs!$B$65,IF((2062-Inputs!$B$53-Inputs!$B$9)=1,Inputs!$B$66,1)))</f>
        <v>1</v>
      </c>
      <c r="AO29" s="38" t="n">
        <f aca="false">IF((2063-Inputs!$B$53-Inputs!$B$9)&lt;0,0,IF((2063-Inputs!$B$53-Inputs!$B$9)=0,Inputs!$B$54*Inputs!$B$65,IF((2063-Inputs!$B$53-Inputs!$B$9)=1,Inputs!$B$66,1)))</f>
        <v>1</v>
      </c>
      <c r="AP29" s="38" t="n">
        <f aca="false">IF((2064-Inputs!$B$53-Inputs!$B$9)&lt;0,0,IF((2064-Inputs!$B$53-Inputs!$B$9)=0,Inputs!$B$54*Inputs!$B$65,IF((2064-Inputs!$B$53-Inputs!$B$9)=1,Inputs!$B$66,1)))</f>
        <v>1</v>
      </c>
      <c r="AQ29" s="38" t="n">
        <f aca="false">IF((2065-Inputs!$B$53-Inputs!$B$9)&lt;0,0,IF((2065-Inputs!$B$53-Inputs!$B$9)=0,Inputs!$B$54*Inputs!$B$65,IF((2065-Inputs!$B$53-Inputs!$B$9)=1,Inputs!$B$66,1)))</f>
        <v>1</v>
      </c>
      <c r="AR29" s="38" t="n">
        <f aca="false">IF((2066-Inputs!$B$53-Inputs!$B$9)&lt;0,0,IF((2066-Inputs!$B$53-Inputs!$B$9)=0,Inputs!$B$54*Inputs!$B$65,IF((2066-Inputs!$B$53-Inputs!$B$9)=1,Inputs!$B$66,1)))</f>
        <v>1</v>
      </c>
      <c r="AS29" s="38" t="n">
        <f aca="false">IF((2067-Inputs!$B$53-Inputs!$B$9)&lt;0,0,IF((2067-Inputs!$B$53-Inputs!$B$9)=0,Inputs!$B$54*Inputs!$B$65,IF((2067-Inputs!$B$53-Inputs!$B$9)=1,Inputs!$B$66,1)))</f>
        <v>1</v>
      </c>
      <c r="AT29" s="38" t="n">
        <f aca="false">IF((2068-Inputs!$B$53-Inputs!$B$9)&lt;0,0,IF((2068-Inputs!$B$53-Inputs!$B$9)=0,Inputs!$B$54*Inputs!$B$65,IF((2068-Inputs!$B$53-Inputs!$B$9)=1,Inputs!$B$66,1)))</f>
        <v>1</v>
      </c>
      <c r="AU29" s="38" t="n">
        <f aca="false">IF((2069-Inputs!$B$53-Inputs!$B$9)&lt;0,0,IF((2069-Inputs!$B$53-Inputs!$B$9)=0,Inputs!$B$54*Inputs!$B$65,IF((2069-Inputs!$B$53-Inputs!$B$9)=1,Inputs!$B$66,1)))</f>
        <v>1</v>
      </c>
      <c r="AV29" s="38" t="n">
        <f aca="false">IF((2070-Inputs!$B$53-Inputs!$B$9)&lt;0,0,IF((2070-Inputs!$B$53-Inputs!$B$9)=0,Inputs!$B$54*Inputs!$B$65,IF((2070-Inputs!$B$53-Inputs!$B$9)=1,Inputs!$B$66,1)))</f>
        <v>1</v>
      </c>
      <c r="AW29" s="38" t="n">
        <f aca="false">IF((2071-Inputs!$B$53-Inputs!$B$9)&lt;0,0,IF((2071-Inputs!$B$53-Inputs!$B$9)=0,Inputs!$B$54*Inputs!$B$65,IF((2071-Inputs!$B$53-Inputs!$B$9)=1,Inputs!$B$66,1)))</f>
        <v>1</v>
      </c>
      <c r="AX29" s="38" t="n">
        <f aca="false">IF((2072-Inputs!$B$53-Inputs!$B$9)&lt;0,0,IF((2072-Inputs!$B$53-Inputs!$B$9)=0,Inputs!$B$54*Inputs!$B$65,IF((2072-Inputs!$B$53-Inputs!$B$9)=1,Inputs!$B$66,1)))</f>
        <v>1</v>
      </c>
      <c r="AY29" s="38" t="n">
        <f aca="false">IF((2073-Inputs!$B$53-Inputs!$B$9)&lt;0,0,IF((2073-Inputs!$B$53-Inputs!$B$9)=0,Inputs!$B$54*Inputs!$B$65,IF((2073-Inputs!$B$53-Inputs!$B$9)=1,Inputs!$B$66,1)))</f>
        <v>1</v>
      </c>
      <c r="AZ29" s="38" t="n">
        <f aca="false">IF((2074-Inputs!$B$53-Inputs!$B$9)&lt;0,0,IF((2074-Inputs!$B$53-Inputs!$B$9)=0,Inputs!$B$54*Inputs!$B$65,IF((2074-Inputs!$B$53-Inputs!$B$9)=1,Inputs!$B$66,1)))</f>
        <v>1</v>
      </c>
    </row>
    <row r="30" customFormat="false" ht="15" hidden="false" customHeight="false" outlineLevel="0" collapsed="false">
      <c r="A30" s="33" t="s">
        <v>139</v>
      </c>
      <c r="D30" s="34" t="n">
        <f aca="false">Inputs!$B$57*365/12*(Inputs!$B$58*Inputs!$B$59*Inputs!$B$61+(12-Inputs!$B$58)*Inputs!$B$60*Inputs!$B$62)/Inputs!$B$63/1000000</f>
        <v>102.628896882494</v>
      </c>
      <c r="E30" s="34" t="n">
        <f aca="false">Inputs!$B$57*365/12*(Inputs!$B$58*Inputs!$B$59*Inputs!$B$61+(12-Inputs!$B$58)*Inputs!$B$60*Inputs!$B$62)/Inputs!$B$63/1000000</f>
        <v>102.628896882494</v>
      </c>
      <c r="F30" s="34" t="n">
        <f aca="false">Inputs!$B$57*365/12*(Inputs!$B$58*Inputs!$B$59*Inputs!$B$61+(12-Inputs!$B$58)*Inputs!$B$60*Inputs!$B$62)/Inputs!$B$63/1000000</f>
        <v>102.628896882494</v>
      </c>
      <c r="G30" s="34" t="n">
        <f aca="false">Inputs!$B$57*365/12*(Inputs!$B$58*Inputs!$B$59*Inputs!$B$61+(12-Inputs!$B$58)*Inputs!$B$60*Inputs!$B$62)/Inputs!$B$63/1000000</f>
        <v>102.628896882494</v>
      </c>
      <c r="H30" s="34" t="n">
        <f aca="false">Inputs!$B$57*365/12*(Inputs!$B$58*Inputs!$B$59*Inputs!$B$61+(12-Inputs!$B$58)*Inputs!$B$60*Inputs!$B$62)/Inputs!$B$63/1000000</f>
        <v>102.628896882494</v>
      </c>
      <c r="I30" s="34" t="n">
        <f aca="false">Inputs!$B$57*365/12*(Inputs!$B$58*Inputs!$B$59*Inputs!$B$61+(12-Inputs!$B$58)*Inputs!$B$60*Inputs!$B$62)/Inputs!$B$63/1000000</f>
        <v>102.628896882494</v>
      </c>
      <c r="J30" s="34" t="n">
        <f aca="false">Inputs!$B$57*365/12*(Inputs!$B$58*Inputs!$B$59*Inputs!$B$61+(12-Inputs!$B$58)*Inputs!$B$60*Inputs!$B$62)/Inputs!$B$63/1000000</f>
        <v>102.628896882494</v>
      </c>
      <c r="K30" s="34" t="n">
        <f aca="false">Inputs!$B$57*365/12*(Inputs!$B$58*Inputs!$B$59*Inputs!$B$61+(12-Inputs!$B$58)*Inputs!$B$60*Inputs!$B$62)/Inputs!$B$63/1000000</f>
        <v>102.628896882494</v>
      </c>
      <c r="L30" s="34" t="n">
        <f aca="false">Inputs!$B$57*365/12*(Inputs!$B$58*Inputs!$B$59*Inputs!$B$61+(12-Inputs!$B$58)*Inputs!$B$60*Inputs!$B$62)/Inputs!$B$63/1000000</f>
        <v>102.628896882494</v>
      </c>
      <c r="M30" s="34" t="n">
        <f aca="false">Inputs!$B$57*365/12*(Inputs!$B$58*Inputs!$B$59*Inputs!$B$61+(12-Inputs!$B$58)*Inputs!$B$60*Inputs!$B$62)/Inputs!$B$63/1000000</f>
        <v>102.628896882494</v>
      </c>
      <c r="N30" s="34" t="n">
        <f aca="false">Inputs!$B$57*365/12*(Inputs!$B$58*Inputs!$B$59*Inputs!$B$61+(12-Inputs!$B$58)*Inputs!$B$60*Inputs!$B$62)/Inputs!$B$63/1000000</f>
        <v>102.628896882494</v>
      </c>
      <c r="O30" s="34" t="n">
        <f aca="false">Inputs!$B$57*365/12*(Inputs!$B$58*Inputs!$B$59*Inputs!$B$61+(12-Inputs!$B$58)*Inputs!$B$60*Inputs!$B$62)/Inputs!$B$63/1000000</f>
        <v>102.628896882494</v>
      </c>
      <c r="P30" s="34" t="n">
        <f aca="false">Inputs!$B$57*365/12*(Inputs!$B$58*Inputs!$B$59*Inputs!$B$61+(12-Inputs!$B$58)*Inputs!$B$60*Inputs!$B$62)/Inputs!$B$63/1000000</f>
        <v>102.628896882494</v>
      </c>
      <c r="Q30" s="34" t="n">
        <f aca="false">Inputs!$B$57*365/12*(Inputs!$B$58*Inputs!$B$59*Inputs!$B$61+(12-Inputs!$B$58)*Inputs!$B$60*Inputs!$B$62)/Inputs!$B$63/1000000</f>
        <v>102.628896882494</v>
      </c>
      <c r="R30" s="34" t="n">
        <f aca="false">Inputs!$B$57*365/12*(Inputs!$B$58*Inputs!$B$59*Inputs!$B$61+(12-Inputs!$B$58)*Inputs!$B$60*Inputs!$B$62)/Inputs!$B$63/1000000</f>
        <v>102.628896882494</v>
      </c>
      <c r="S30" s="34" t="n">
        <f aca="false">Inputs!$B$57*365/12*(Inputs!$B$58*Inputs!$B$59*Inputs!$B$61+(12-Inputs!$B$58)*Inputs!$B$60*Inputs!$B$62)/Inputs!$B$63/1000000</f>
        <v>102.628896882494</v>
      </c>
      <c r="T30" s="34" t="n">
        <f aca="false">Inputs!$B$57*365/12*(Inputs!$B$58*Inputs!$B$59*Inputs!$B$61+(12-Inputs!$B$58)*Inputs!$B$60*Inputs!$B$62)/Inputs!$B$63/1000000</f>
        <v>102.628896882494</v>
      </c>
      <c r="U30" s="34" t="n">
        <f aca="false">Inputs!$B$57*365/12*(Inputs!$B$58*Inputs!$B$59*Inputs!$B$61+(12-Inputs!$B$58)*Inputs!$B$60*Inputs!$B$62)/Inputs!$B$63/1000000</f>
        <v>102.628896882494</v>
      </c>
      <c r="V30" s="34" t="n">
        <f aca="false">Inputs!$B$57*365/12*(Inputs!$B$58*Inputs!$B$59*Inputs!$B$61+(12-Inputs!$B$58)*Inputs!$B$60*Inputs!$B$62)/Inputs!$B$63/1000000</f>
        <v>102.628896882494</v>
      </c>
      <c r="W30" s="34" t="n">
        <f aca="false">Inputs!$B$57*365/12*(Inputs!$B$58*Inputs!$B$59*Inputs!$B$61+(12-Inputs!$B$58)*Inputs!$B$60*Inputs!$B$62)/Inputs!$B$63/1000000</f>
        <v>102.628896882494</v>
      </c>
      <c r="X30" s="34" t="n">
        <f aca="false">Inputs!$B$57*365/12*(Inputs!$B$58*Inputs!$B$59*Inputs!$B$61+(12-Inputs!$B$58)*Inputs!$B$60*Inputs!$B$62)/Inputs!$B$63/1000000</f>
        <v>102.628896882494</v>
      </c>
      <c r="Y30" s="34" t="n">
        <f aca="false">Inputs!$B$57*365/12*(Inputs!$B$58*Inputs!$B$59*Inputs!$B$61+(12-Inputs!$B$58)*Inputs!$B$60*Inputs!$B$62)/Inputs!$B$63/1000000</f>
        <v>102.628896882494</v>
      </c>
      <c r="Z30" s="34" t="n">
        <f aca="false">Inputs!$B$57*365/12*(Inputs!$B$58*Inputs!$B$59*Inputs!$B$61+(12-Inputs!$B$58)*Inputs!$B$60*Inputs!$B$62)/Inputs!$B$63/1000000</f>
        <v>102.628896882494</v>
      </c>
      <c r="AA30" s="34" t="n">
        <f aca="false">Inputs!$B$57*365/12*(Inputs!$B$58*Inputs!$B$59*Inputs!$B$61+(12-Inputs!$B$58)*Inputs!$B$60*Inputs!$B$62)/Inputs!$B$63/1000000</f>
        <v>102.628896882494</v>
      </c>
      <c r="AB30" s="34" t="n">
        <f aca="false">Inputs!$B$57*365/12*(Inputs!$B$58*Inputs!$B$59*Inputs!$B$61+(12-Inputs!$B$58)*Inputs!$B$60*Inputs!$B$62)/Inputs!$B$63/1000000</f>
        <v>102.628896882494</v>
      </c>
      <c r="AC30" s="34" t="n">
        <f aca="false">Inputs!$B$57*365/12*(Inputs!$B$58*Inputs!$B$59*Inputs!$B$61+(12-Inputs!$B$58)*Inputs!$B$60*Inputs!$B$62)/Inputs!$B$63/1000000</f>
        <v>102.628896882494</v>
      </c>
      <c r="AD30" s="34" t="n">
        <f aca="false">Inputs!$B$57*365/12*(Inputs!$B$58*Inputs!$B$59*Inputs!$B$61+(12-Inputs!$B$58)*Inputs!$B$60*Inputs!$B$62)/Inputs!$B$63/1000000</f>
        <v>102.628896882494</v>
      </c>
      <c r="AE30" s="34" t="n">
        <f aca="false">Inputs!$B$57*365/12*(Inputs!$B$58*Inputs!$B$59*Inputs!$B$61+(12-Inputs!$B$58)*Inputs!$B$60*Inputs!$B$62)/Inputs!$B$63/1000000</f>
        <v>102.628896882494</v>
      </c>
      <c r="AF30" s="34" t="n">
        <f aca="false">Inputs!$B$57*365/12*(Inputs!$B$58*Inputs!$B$59*Inputs!$B$61+(12-Inputs!$B$58)*Inputs!$B$60*Inputs!$B$62)/Inputs!$B$63/1000000</f>
        <v>102.628896882494</v>
      </c>
      <c r="AG30" s="34" t="n">
        <f aca="false">Inputs!$B$57*365/12*(Inputs!$B$58*Inputs!$B$59*Inputs!$B$61+(12-Inputs!$B$58)*Inputs!$B$60*Inputs!$B$62)/Inputs!$B$63/1000000</f>
        <v>102.628896882494</v>
      </c>
      <c r="AH30" s="34" t="n">
        <f aca="false">Inputs!$B$57*365/12*(Inputs!$B$58*Inputs!$B$59*Inputs!$B$61+(12-Inputs!$B$58)*Inputs!$B$60*Inputs!$B$62)/Inputs!$B$63/1000000</f>
        <v>102.628896882494</v>
      </c>
      <c r="AI30" s="34" t="n">
        <f aca="false">Inputs!$B$57*365/12*(Inputs!$B$58*Inputs!$B$59*Inputs!$B$61+(12-Inputs!$B$58)*Inputs!$B$60*Inputs!$B$62)/Inputs!$B$63/1000000</f>
        <v>102.628896882494</v>
      </c>
      <c r="AJ30" s="34" t="n">
        <f aca="false">Inputs!$B$57*365/12*(Inputs!$B$58*Inputs!$B$59*Inputs!$B$61+(12-Inputs!$B$58)*Inputs!$B$60*Inputs!$B$62)/Inputs!$B$63/1000000</f>
        <v>102.628896882494</v>
      </c>
      <c r="AK30" s="34" t="n">
        <f aca="false">Inputs!$B$57*365/12*(Inputs!$B$58*Inputs!$B$59*Inputs!$B$61+(12-Inputs!$B$58)*Inputs!$B$60*Inputs!$B$62)/Inputs!$B$63/1000000</f>
        <v>102.628896882494</v>
      </c>
      <c r="AL30" s="34" t="n">
        <f aca="false">Inputs!$B$57*365/12*(Inputs!$B$58*Inputs!$B$59*Inputs!$B$61+(12-Inputs!$B$58)*Inputs!$B$60*Inputs!$B$62)/Inputs!$B$63/1000000</f>
        <v>102.628896882494</v>
      </c>
      <c r="AM30" s="34" t="n">
        <f aca="false">Inputs!$B$57*365/12*(Inputs!$B$58*Inputs!$B$59*Inputs!$B$61+(12-Inputs!$B$58)*Inputs!$B$60*Inputs!$B$62)/Inputs!$B$63/1000000</f>
        <v>102.628896882494</v>
      </c>
      <c r="AN30" s="34" t="n">
        <f aca="false">Inputs!$B$57*365/12*(Inputs!$B$58*Inputs!$B$59*Inputs!$B$61+(12-Inputs!$B$58)*Inputs!$B$60*Inputs!$B$62)/Inputs!$B$63/1000000</f>
        <v>102.628896882494</v>
      </c>
      <c r="AO30" s="34" t="n">
        <f aca="false">Inputs!$B$57*365/12*(Inputs!$B$58*Inputs!$B$59*Inputs!$B$61+(12-Inputs!$B$58)*Inputs!$B$60*Inputs!$B$62)/Inputs!$B$63/1000000</f>
        <v>102.628896882494</v>
      </c>
      <c r="AP30" s="34" t="n">
        <f aca="false">Inputs!$B$57*365/12*(Inputs!$B$58*Inputs!$B$59*Inputs!$B$61+(12-Inputs!$B$58)*Inputs!$B$60*Inputs!$B$62)/Inputs!$B$63/1000000</f>
        <v>102.628896882494</v>
      </c>
      <c r="AQ30" s="34" t="n">
        <f aca="false">Inputs!$B$57*365/12*(Inputs!$B$58*Inputs!$B$59*Inputs!$B$61+(12-Inputs!$B$58)*Inputs!$B$60*Inputs!$B$62)/Inputs!$B$63/1000000</f>
        <v>102.628896882494</v>
      </c>
      <c r="AR30" s="34" t="n">
        <f aca="false">Inputs!$B$57*365/12*(Inputs!$B$58*Inputs!$B$59*Inputs!$B$61+(12-Inputs!$B$58)*Inputs!$B$60*Inputs!$B$62)/Inputs!$B$63/1000000</f>
        <v>102.628896882494</v>
      </c>
      <c r="AS30" s="34" t="n">
        <f aca="false">Inputs!$B$57*365/12*(Inputs!$B$58*Inputs!$B$59*Inputs!$B$61+(12-Inputs!$B$58)*Inputs!$B$60*Inputs!$B$62)/Inputs!$B$63/1000000</f>
        <v>102.628896882494</v>
      </c>
      <c r="AT30" s="34" t="n">
        <f aca="false">Inputs!$B$57*365/12*(Inputs!$B$58*Inputs!$B$59*Inputs!$B$61+(12-Inputs!$B$58)*Inputs!$B$60*Inputs!$B$62)/Inputs!$B$63/1000000</f>
        <v>102.628896882494</v>
      </c>
      <c r="AU30" s="34" t="n">
        <f aca="false">Inputs!$B$57*365/12*(Inputs!$B$58*Inputs!$B$59*Inputs!$B$61+(12-Inputs!$B$58)*Inputs!$B$60*Inputs!$B$62)/Inputs!$B$63/1000000</f>
        <v>102.628896882494</v>
      </c>
      <c r="AV30" s="34" t="n">
        <f aca="false">Inputs!$B$57*365/12*(Inputs!$B$58*Inputs!$B$59*Inputs!$B$61+(12-Inputs!$B$58)*Inputs!$B$60*Inputs!$B$62)/Inputs!$B$63/1000000</f>
        <v>102.628896882494</v>
      </c>
      <c r="AW30" s="34" t="n">
        <f aca="false">Inputs!$B$57*365/12*(Inputs!$B$58*Inputs!$B$59*Inputs!$B$61+(12-Inputs!$B$58)*Inputs!$B$60*Inputs!$B$62)/Inputs!$B$63/1000000</f>
        <v>102.628896882494</v>
      </c>
      <c r="AX30" s="34" t="n">
        <f aca="false">Inputs!$B$57*365/12*(Inputs!$B$58*Inputs!$B$59*Inputs!$B$61+(12-Inputs!$B$58)*Inputs!$B$60*Inputs!$B$62)/Inputs!$B$63/1000000</f>
        <v>102.628896882494</v>
      </c>
      <c r="AY30" s="34" t="n">
        <f aca="false">Inputs!$B$57*365/12*(Inputs!$B$58*Inputs!$B$59*Inputs!$B$61+(12-Inputs!$B$58)*Inputs!$B$60*Inputs!$B$62)/Inputs!$B$63/1000000</f>
        <v>102.628896882494</v>
      </c>
      <c r="AZ30" s="34" t="n">
        <f aca="false">Inputs!$B$57*365/12*(Inputs!$B$58*Inputs!$B$59*Inputs!$B$61+(12-Inputs!$B$58)*Inputs!$B$60*Inputs!$B$62)/Inputs!$B$63/1000000</f>
        <v>102.628896882494</v>
      </c>
    </row>
    <row r="31" customFormat="false" ht="15" hidden="false" customHeight="false" outlineLevel="0" collapsed="false">
      <c r="A31" s="3" t="s">
        <v>140</v>
      </c>
      <c r="C31" s="37" t="n">
        <f aca="false">SUM(D31:AZ31)</f>
        <v>7988.19625368114</v>
      </c>
      <c r="D31" s="37" t="n">
        <f aca="false">D30*D25*D29*Inputs!$B$6*Inputs!$B$200</f>
        <v>0</v>
      </c>
      <c r="E31" s="37" t="n">
        <f aca="false">E30*E25*E29*Inputs!$B$6*Inputs!$B$200</f>
        <v>0</v>
      </c>
      <c r="F31" s="37" t="n">
        <f aca="false">F30*F25*F29*Inputs!$B$6*Inputs!$B$200</f>
        <v>0</v>
      </c>
      <c r="G31" s="37" t="n">
        <f aca="false">G30*G25*G29*Inputs!$B$6*Inputs!$B$200</f>
        <v>46.4395758393285</v>
      </c>
      <c r="H31" s="37" t="n">
        <f aca="false">H30*H25*H29*Inputs!$B$6*Inputs!$B$200</f>
        <v>99.8619397194245</v>
      </c>
      <c r="I31" s="37" t="n">
        <f aca="false">I30*I25*I29*Inputs!$B$6*Inputs!$B$200</f>
        <v>107.215219104227</v>
      </c>
      <c r="J31" s="37" t="n">
        <f aca="false">J30*J25*J29*Inputs!$B$6*Inputs!$B$200</f>
        <v>109.58467544643</v>
      </c>
      <c r="K31" s="37" t="n">
        <f aca="false">K30*K25*K29*Inputs!$B$6*Inputs!$B$200</f>
        <v>112.006496773796</v>
      </c>
      <c r="L31" s="37" t="n">
        <f aca="false">L30*L25*L29*Inputs!$B$6*Inputs!$B$200</f>
        <v>114.481840352497</v>
      </c>
      <c r="M31" s="37" t="n">
        <f aca="false">M30*M25*M29*Inputs!$B$6*Inputs!$B$200</f>
        <v>117.011889024287</v>
      </c>
      <c r="N31" s="37" t="n">
        <f aca="false">N30*N25*N29*Inputs!$B$6*Inputs!$B$200</f>
        <v>119.597851771724</v>
      </c>
      <c r="O31" s="37" t="n">
        <f aca="false">O30*O25*O29*Inputs!$B$6*Inputs!$B$200</f>
        <v>122.240964295879</v>
      </c>
      <c r="P31" s="37" t="n">
        <f aca="false">P30*P25*P29*Inputs!$B$6*Inputs!$B$200</f>
        <v>124.942489606818</v>
      </c>
      <c r="Q31" s="37" t="n">
        <f aca="false">Q30*Q25*Q29*Inputs!$B$6*Inputs!$B$200</f>
        <v>127.703718627129</v>
      </c>
      <c r="R31" s="37" t="n">
        <f aca="false">R30*R25*R29*Inputs!$B$6*Inputs!$B$200</f>
        <v>130.525970808788</v>
      </c>
      <c r="S31" s="37" t="n">
        <f aca="false">S30*S25*S29*Inputs!$B$6*Inputs!$B$200</f>
        <v>133.410594763662</v>
      </c>
      <c r="T31" s="37" t="n">
        <f aca="false">T30*T25*T29*Inputs!$B$6*Inputs!$B$200</f>
        <v>136.358968907939</v>
      </c>
      <c r="U31" s="37" t="n">
        <f aca="false">U30*U25*U29*Inputs!$B$6*Inputs!$B$200</f>
        <v>139.372502120805</v>
      </c>
      <c r="V31" s="37" t="n">
        <f aca="false">V30*V25*V29*Inputs!$B$6*Inputs!$B$200</f>
        <v>142.452634417675</v>
      </c>
      <c r="W31" s="37" t="n">
        <f aca="false">W30*W25*W29*Inputs!$B$6*Inputs!$B$200</f>
        <v>145.600837638305</v>
      </c>
      <c r="X31" s="37" t="n">
        <f aca="false">X30*X25*X29*Inputs!$B$6*Inputs!$B$200</f>
        <v>148.818616150112</v>
      </c>
      <c r="Y31" s="37" t="n">
        <f aca="false">Y30*Y25*Y29*Inputs!$B$6*Inputs!$B$200</f>
        <v>152.107507567029</v>
      </c>
      <c r="Z31" s="37" t="n">
        <f aca="false">Z30*Z25*Z29*Inputs!$B$6*Inputs!$B$200</f>
        <v>155.469083484261</v>
      </c>
      <c r="AA31" s="37" t="n">
        <f aca="false">AA30*AA25*AA29*Inputs!$B$6*Inputs!$B$200</f>
        <v>158.904950229263</v>
      </c>
      <c r="AB31" s="37" t="n">
        <f aca="false">AB30*AB25*AB29*Inputs!$B$6*Inputs!$B$200</f>
        <v>162.416749629329</v>
      </c>
      <c r="AC31" s="37" t="n">
        <f aca="false">AC30*AC25*AC29*Inputs!$B$6*Inputs!$B$200</f>
        <v>166.006159796138</v>
      </c>
      <c r="AD31" s="37" t="n">
        <f aca="false">AD30*AD25*AD29*Inputs!$B$6*Inputs!$B$200</f>
        <v>169.674895927632</v>
      </c>
      <c r="AE31" s="37" t="n">
        <f aca="false">AE30*AE25*AE29*Inputs!$B$6*Inputs!$B$200</f>
        <v>173.424711127633</v>
      </c>
      <c r="AF31" s="37" t="n">
        <f aca="false">AF30*AF25*AF29*Inputs!$B$6*Inputs!$B$200</f>
        <v>177.257397243554</v>
      </c>
      <c r="AG31" s="37" t="n">
        <f aca="false">AG30*AG25*AG29*Inputs!$B$6*Inputs!$B$200</f>
        <v>181.174785722636</v>
      </c>
      <c r="AH31" s="37" t="n">
        <f aca="false">AH30*AH25*AH29*Inputs!$B$6*Inputs!$B$200</f>
        <v>185.178748487106</v>
      </c>
      <c r="AI31" s="37" t="n">
        <f aca="false">AI30*AI25*AI29*Inputs!$B$6*Inputs!$B$200</f>
        <v>189.271198828672</v>
      </c>
      <c r="AJ31" s="37" t="n">
        <f aca="false">AJ30*AJ25*AJ29*Inputs!$B$6*Inputs!$B$200</f>
        <v>193.454092322785</v>
      </c>
      <c r="AK31" s="37" t="n">
        <f aca="false">AK30*AK25*AK29*Inputs!$B$6*Inputs!$B$200</f>
        <v>197.729427763119</v>
      </c>
      <c r="AL31" s="37" t="n">
        <f aca="false">AL30*AL25*AL29*Inputs!$B$6*Inputs!$B$200</f>
        <v>202.099248116684</v>
      </c>
      <c r="AM31" s="37" t="n">
        <f aca="false">AM30*AM25*AM29*Inputs!$B$6*Inputs!$B$200</f>
        <v>206.565641500062</v>
      </c>
      <c r="AN31" s="37" t="n">
        <f aca="false">AN30*AN25*AN29*Inputs!$B$6*Inputs!$B$200</f>
        <v>211.130742177214</v>
      </c>
      <c r="AO31" s="37" t="n">
        <f aca="false">AO30*AO25*AO29*Inputs!$B$6*Inputs!$B$200</f>
        <v>215.79673157933</v>
      </c>
      <c r="AP31" s="37" t="n">
        <f aca="false">AP30*AP25*AP29*Inputs!$B$6*Inputs!$B$200</f>
        <v>220.565839347233</v>
      </c>
      <c r="AQ31" s="37" t="n">
        <f aca="false">AQ30*AQ25*AQ29*Inputs!$B$6*Inputs!$B$200</f>
        <v>225.440344396807</v>
      </c>
      <c r="AR31" s="37" t="n">
        <f aca="false">AR30*AR25*AR29*Inputs!$B$6*Inputs!$B$200</f>
        <v>230.422576007977</v>
      </c>
      <c r="AS31" s="37" t="n">
        <f aca="false">AS30*AS25*AS29*Inputs!$B$6*Inputs!$B$200</f>
        <v>235.514914937753</v>
      </c>
      <c r="AT31" s="37" t="n">
        <f aca="false">AT30*AT25*AT29*Inputs!$B$6*Inputs!$B$200</f>
        <v>240.719794557877</v>
      </c>
      <c r="AU31" s="37" t="n">
        <f aca="false">AU30*AU25*AU29*Inputs!$B$6*Inputs!$B$200</f>
        <v>246.039702017606</v>
      </c>
      <c r="AV31" s="37" t="n">
        <f aca="false">AV30*AV25*AV29*Inputs!$B$6*Inputs!$B$200</f>
        <v>251.477179432195</v>
      </c>
      <c r="AW31" s="37" t="n">
        <f aca="false">AW30*AW25*AW29*Inputs!$B$6*Inputs!$B$200</f>
        <v>257.034825097647</v>
      </c>
      <c r="AX31" s="37" t="n">
        <f aca="false">AX30*AX25*AX29*Inputs!$B$6*Inputs!$B$200</f>
        <v>262.715294732305</v>
      </c>
      <c r="AY31" s="37" t="n">
        <f aca="false">AY30*AY25*AY29*Inputs!$B$6*Inputs!$B$200</f>
        <v>268.521302745889</v>
      </c>
      <c r="AZ31" s="37" t="n">
        <f aca="false">AZ30*AZ25*AZ29*Inputs!$B$6*Inputs!$B$200</f>
        <v>274.455623536573</v>
      </c>
    </row>
    <row r="32" customFormat="false" ht="15" hidden="false" customHeight="false" outlineLevel="0" collapsed="false">
      <c r="A32" s="33" t="s">
        <v>141</v>
      </c>
      <c r="D32" s="39" t="n">
        <f aca="false">D31*1000/Inputs!$B$57</f>
        <v>0</v>
      </c>
      <c r="E32" s="39" t="n">
        <f aca="false">E31*1000/Inputs!$B$57</f>
        <v>0</v>
      </c>
      <c r="F32" s="39" t="n">
        <f aca="false">F31*1000/Inputs!$B$57</f>
        <v>0</v>
      </c>
      <c r="G32" s="39" t="n">
        <f aca="false">G31*1000/Inputs!$B$57</f>
        <v>77.3992930655476</v>
      </c>
      <c r="H32" s="39" t="n">
        <f aca="false">H31*1000/Inputs!$B$57</f>
        <v>166.436566199041</v>
      </c>
      <c r="I32" s="39" t="n">
        <f aca="false">I31*1000/Inputs!$B$57</f>
        <v>178.692031840378</v>
      </c>
      <c r="J32" s="39" t="n">
        <f aca="false">J31*1000/Inputs!$B$57</f>
        <v>182.64112574405</v>
      </c>
      <c r="K32" s="39" t="n">
        <f aca="false">K31*1000/Inputs!$B$57</f>
        <v>186.677494622994</v>
      </c>
      <c r="L32" s="39" t="n">
        <f aca="false">L31*1000/Inputs!$B$57</f>
        <v>190.803067254162</v>
      </c>
      <c r="M32" s="39" t="n">
        <f aca="false">M31*1000/Inputs!$B$57</f>
        <v>195.019815040479</v>
      </c>
      <c r="N32" s="39" t="n">
        <f aca="false">N31*1000/Inputs!$B$57</f>
        <v>199.329752952873</v>
      </c>
      <c r="O32" s="39" t="n">
        <f aca="false">O31*1000/Inputs!$B$57</f>
        <v>203.734940493132</v>
      </c>
      <c r="P32" s="39" t="n">
        <f aca="false">P31*1000/Inputs!$B$57</f>
        <v>208.23748267803</v>
      </c>
      <c r="Q32" s="39" t="n">
        <f aca="false">Q31*1000/Inputs!$B$57</f>
        <v>212.839531045214</v>
      </c>
      <c r="R32" s="39" t="n">
        <f aca="false">R31*1000/Inputs!$B$57</f>
        <v>217.543284681314</v>
      </c>
      <c r="S32" s="39" t="n">
        <f aca="false">S31*1000/Inputs!$B$57</f>
        <v>222.350991272771</v>
      </c>
      <c r="T32" s="39" t="n">
        <f aca="false">T31*1000/Inputs!$B$57</f>
        <v>227.264948179899</v>
      </c>
      <c r="U32" s="39" t="n">
        <f aca="false">U31*1000/Inputs!$B$57</f>
        <v>232.287503534675</v>
      </c>
      <c r="V32" s="39" t="n">
        <f aca="false">V31*1000/Inputs!$B$57</f>
        <v>237.421057362791</v>
      </c>
      <c r="W32" s="39" t="n">
        <f aca="false">W31*1000/Inputs!$B$57</f>
        <v>242.668062730509</v>
      </c>
      <c r="X32" s="39" t="n">
        <f aca="false">X31*1000/Inputs!$B$57</f>
        <v>248.031026916853</v>
      </c>
      <c r="Y32" s="39" t="n">
        <f aca="false">Y31*1000/Inputs!$B$57</f>
        <v>253.512512611715</v>
      </c>
      <c r="Z32" s="39" t="n">
        <f aca="false">Z31*1000/Inputs!$B$57</f>
        <v>259.115139140434</v>
      </c>
      <c r="AA32" s="39" t="n">
        <f aca="false">AA31*1000/Inputs!$B$57</f>
        <v>264.841583715438</v>
      </c>
      <c r="AB32" s="39" t="n">
        <f aca="false">AB31*1000/Inputs!$B$57</f>
        <v>270.694582715549</v>
      </c>
      <c r="AC32" s="39" t="n">
        <f aca="false">AC31*1000/Inputs!$B$57</f>
        <v>276.676932993563</v>
      </c>
      <c r="AD32" s="39" t="n">
        <f aca="false">AD31*1000/Inputs!$B$57</f>
        <v>282.79149321272</v>
      </c>
      <c r="AE32" s="39" t="n">
        <f aca="false">AE31*1000/Inputs!$B$57</f>
        <v>289.041185212722</v>
      </c>
      <c r="AF32" s="39" t="n">
        <f aca="false">AF31*1000/Inputs!$B$57</f>
        <v>295.428995405923</v>
      </c>
      <c r="AG32" s="39" t="n">
        <f aca="false">AG31*1000/Inputs!$B$57</f>
        <v>301.957976204394</v>
      </c>
      <c r="AH32" s="39" t="n">
        <f aca="false">AH31*1000/Inputs!$B$57</f>
        <v>308.631247478511</v>
      </c>
      <c r="AI32" s="39" t="n">
        <f aca="false">AI31*1000/Inputs!$B$57</f>
        <v>315.451998047786</v>
      </c>
      <c r="AJ32" s="39" t="n">
        <f aca="false">AJ31*1000/Inputs!$B$57</f>
        <v>322.423487204642</v>
      </c>
      <c r="AK32" s="39" t="n">
        <f aca="false">AK31*1000/Inputs!$B$57</f>
        <v>329.549046271865</v>
      </c>
      <c r="AL32" s="39" t="n">
        <f aca="false">AL31*1000/Inputs!$B$57</f>
        <v>336.832080194473</v>
      </c>
      <c r="AM32" s="39" t="n">
        <f aca="false">AM31*1000/Inputs!$B$57</f>
        <v>344.276069166771</v>
      </c>
      <c r="AN32" s="39" t="n">
        <f aca="false">AN31*1000/Inputs!$B$57</f>
        <v>351.884570295356</v>
      </c>
      <c r="AO32" s="39" t="n">
        <f aca="false">AO31*1000/Inputs!$B$57</f>
        <v>359.661219298884</v>
      </c>
      <c r="AP32" s="39" t="n">
        <f aca="false">AP31*1000/Inputs!$B$57</f>
        <v>367.609732245389</v>
      </c>
      <c r="AQ32" s="39" t="n">
        <f aca="false">AQ31*1000/Inputs!$B$57</f>
        <v>375.733907328012</v>
      </c>
      <c r="AR32" s="39" t="n">
        <f aca="false">AR31*1000/Inputs!$B$57</f>
        <v>384.037626679961</v>
      </c>
      <c r="AS32" s="39" t="n">
        <f aca="false">AS31*1000/Inputs!$B$57</f>
        <v>392.524858229588</v>
      </c>
      <c r="AT32" s="39" t="n">
        <f aca="false">AT31*1000/Inputs!$B$57</f>
        <v>401.199657596462</v>
      </c>
      <c r="AU32" s="39" t="n">
        <f aca="false">AU31*1000/Inputs!$B$57</f>
        <v>410.066170029344</v>
      </c>
      <c r="AV32" s="39" t="n">
        <f aca="false">AV31*1000/Inputs!$B$57</f>
        <v>419.128632386992</v>
      </c>
      <c r="AW32" s="39" t="n">
        <f aca="false">AW31*1000/Inputs!$B$57</f>
        <v>428.391375162745</v>
      </c>
      <c r="AX32" s="39" t="n">
        <f aca="false">AX31*1000/Inputs!$B$57</f>
        <v>437.858824553842</v>
      </c>
      <c r="AY32" s="39" t="n">
        <f aca="false">AY31*1000/Inputs!$B$57</f>
        <v>447.535504576482</v>
      </c>
      <c r="AZ32" s="39" t="n">
        <f aca="false">AZ31*1000/Inputs!$B$57</f>
        <v>457.426039227622</v>
      </c>
    </row>
    <row r="33" customFormat="false" ht="15" hidden="false" customHeight="false" outlineLevel="0" collapsed="false">
      <c r="A33" s="33" t="s">
        <v>142</v>
      </c>
      <c r="D33" s="40" t="n">
        <f aca="false">IF((2026-Inputs!$B$53-Inputs!$B$9)&lt;0,0,IF((2026-Inputs!$B$53-Inputs!$B$9)=0,Inputs!$B$67,IF((2026-Inputs!$B$53-Inputs!$B$9)=1,Inputs!$B$68,Inputs!$B$69)))</f>
        <v>0</v>
      </c>
      <c r="E33" s="40" t="n">
        <f aca="false">IF((2027-Inputs!$B$53-Inputs!$B$9)&lt;0,0,IF((2027-Inputs!$B$53-Inputs!$B$9)=0,Inputs!$B$67,IF((2027-Inputs!$B$53-Inputs!$B$9)=1,Inputs!$B$68,Inputs!$B$69)))</f>
        <v>0</v>
      </c>
      <c r="F33" s="40" t="n">
        <f aca="false">IF((2028-Inputs!$B$53-Inputs!$B$9)&lt;0,0,IF((2028-Inputs!$B$53-Inputs!$B$9)=0,Inputs!$B$67,IF((2028-Inputs!$B$53-Inputs!$B$9)=1,Inputs!$B$68,Inputs!$B$69)))</f>
        <v>0</v>
      </c>
      <c r="G33" s="40" t="n">
        <f aca="false">IF((2029-Inputs!$B$53-Inputs!$B$9)&lt;0,0,IF((2029-Inputs!$B$53-Inputs!$B$9)=0,Inputs!$B$67,IF((2029-Inputs!$B$53-Inputs!$B$9)=1,Inputs!$B$68,Inputs!$B$69)))</f>
        <v>0.442</v>
      </c>
      <c r="H33" s="40" t="n">
        <f aca="false">IF((2030-Inputs!$B$53-Inputs!$B$9)&lt;0,0,IF((2030-Inputs!$B$53-Inputs!$B$9)=0,Inputs!$B$67,IF((2030-Inputs!$B$53-Inputs!$B$9)=1,Inputs!$B$68,Inputs!$B$69)))</f>
        <v>0.461</v>
      </c>
      <c r="I33" s="40" t="n">
        <f aca="false">IF((2031-Inputs!$B$53-Inputs!$B$9)&lt;0,0,IF((2031-Inputs!$B$53-Inputs!$B$9)=0,Inputs!$B$67,IF((2031-Inputs!$B$53-Inputs!$B$9)=1,Inputs!$B$68,Inputs!$B$69)))</f>
        <v>0.474</v>
      </c>
      <c r="J33" s="40" t="n">
        <f aca="false">IF((2032-Inputs!$B$53-Inputs!$B$9)&lt;0,0,IF((2032-Inputs!$B$53-Inputs!$B$9)=0,Inputs!$B$67,IF((2032-Inputs!$B$53-Inputs!$B$9)=1,Inputs!$B$68,Inputs!$B$69)))</f>
        <v>0.474</v>
      </c>
      <c r="K33" s="40" t="n">
        <f aca="false">IF((2033-Inputs!$B$53-Inputs!$B$9)&lt;0,0,IF((2033-Inputs!$B$53-Inputs!$B$9)=0,Inputs!$B$67,IF((2033-Inputs!$B$53-Inputs!$B$9)=1,Inputs!$B$68,Inputs!$B$69)))</f>
        <v>0.474</v>
      </c>
      <c r="L33" s="40" t="n">
        <f aca="false">IF((2034-Inputs!$B$53-Inputs!$B$9)&lt;0,0,IF((2034-Inputs!$B$53-Inputs!$B$9)=0,Inputs!$B$67,IF((2034-Inputs!$B$53-Inputs!$B$9)=1,Inputs!$B$68,Inputs!$B$69)))</f>
        <v>0.474</v>
      </c>
      <c r="M33" s="40" t="n">
        <f aca="false">IF((2035-Inputs!$B$53-Inputs!$B$9)&lt;0,0,IF((2035-Inputs!$B$53-Inputs!$B$9)=0,Inputs!$B$67,IF((2035-Inputs!$B$53-Inputs!$B$9)=1,Inputs!$B$68,Inputs!$B$69)))</f>
        <v>0.474</v>
      </c>
      <c r="N33" s="40" t="n">
        <f aca="false">IF((2036-Inputs!$B$53-Inputs!$B$9)&lt;0,0,IF((2036-Inputs!$B$53-Inputs!$B$9)=0,Inputs!$B$67,IF((2036-Inputs!$B$53-Inputs!$B$9)=1,Inputs!$B$68,Inputs!$B$69)))</f>
        <v>0.474</v>
      </c>
      <c r="O33" s="40" t="n">
        <f aca="false">IF((2037-Inputs!$B$53-Inputs!$B$9)&lt;0,0,IF((2037-Inputs!$B$53-Inputs!$B$9)=0,Inputs!$B$67,IF((2037-Inputs!$B$53-Inputs!$B$9)=1,Inputs!$B$68,Inputs!$B$69)))</f>
        <v>0.474</v>
      </c>
      <c r="P33" s="40" t="n">
        <f aca="false">IF((2038-Inputs!$B$53-Inputs!$B$9)&lt;0,0,IF((2038-Inputs!$B$53-Inputs!$B$9)=0,Inputs!$B$67,IF((2038-Inputs!$B$53-Inputs!$B$9)=1,Inputs!$B$68,Inputs!$B$69)))</f>
        <v>0.474</v>
      </c>
      <c r="Q33" s="40" t="n">
        <f aca="false">IF((2039-Inputs!$B$53-Inputs!$B$9)&lt;0,0,IF((2039-Inputs!$B$53-Inputs!$B$9)=0,Inputs!$B$67,IF((2039-Inputs!$B$53-Inputs!$B$9)=1,Inputs!$B$68,Inputs!$B$69)))</f>
        <v>0.474</v>
      </c>
      <c r="R33" s="40" t="n">
        <f aca="false">IF((2040-Inputs!$B$53-Inputs!$B$9)&lt;0,0,IF((2040-Inputs!$B$53-Inputs!$B$9)=0,Inputs!$B$67,IF((2040-Inputs!$B$53-Inputs!$B$9)=1,Inputs!$B$68,Inputs!$B$69)))</f>
        <v>0.474</v>
      </c>
      <c r="S33" s="40" t="n">
        <f aca="false">IF((2041-Inputs!$B$53-Inputs!$B$9)&lt;0,0,IF((2041-Inputs!$B$53-Inputs!$B$9)=0,Inputs!$B$67,IF((2041-Inputs!$B$53-Inputs!$B$9)=1,Inputs!$B$68,Inputs!$B$69)))</f>
        <v>0.474</v>
      </c>
      <c r="T33" s="40" t="n">
        <f aca="false">IF((2042-Inputs!$B$53-Inputs!$B$9)&lt;0,0,IF((2042-Inputs!$B$53-Inputs!$B$9)=0,Inputs!$B$67,IF((2042-Inputs!$B$53-Inputs!$B$9)=1,Inputs!$B$68,Inputs!$B$69)))</f>
        <v>0.474</v>
      </c>
      <c r="U33" s="40" t="n">
        <f aca="false">IF((2043-Inputs!$B$53-Inputs!$B$9)&lt;0,0,IF((2043-Inputs!$B$53-Inputs!$B$9)=0,Inputs!$B$67,IF((2043-Inputs!$B$53-Inputs!$B$9)=1,Inputs!$B$68,Inputs!$B$69)))</f>
        <v>0.474</v>
      </c>
      <c r="V33" s="40" t="n">
        <f aca="false">IF((2044-Inputs!$B$53-Inputs!$B$9)&lt;0,0,IF((2044-Inputs!$B$53-Inputs!$B$9)=0,Inputs!$B$67,IF((2044-Inputs!$B$53-Inputs!$B$9)=1,Inputs!$B$68,Inputs!$B$69)))</f>
        <v>0.474</v>
      </c>
      <c r="W33" s="40" t="n">
        <f aca="false">IF((2045-Inputs!$B$53-Inputs!$B$9)&lt;0,0,IF((2045-Inputs!$B$53-Inputs!$B$9)=0,Inputs!$B$67,IF((2045-Inputs!$B$53-Inputs!$B$9)=1,Inputs!$B$68,Inputs!$B$69)))</f>
        <v>0.474</v>
      </c>
      <c r="X33" s="40" t="n">
        <f aca="false">IF((2046-Inputs!$B$53-Inputs!$B$9)&lt;0,0,IF((2046-Inputs!$B$53-Inputs!$B$9)=0,Inputs!$B$67,IF((2046-Inputs!$B$53-Inputs!$B$9)=1,Inputs!$B$68,Inputs!$B$69)))</f>
        <v>0.474</v>
      </c>
      <c r="Y33" s="40" t="n">
        <f aca="false">IF((2047-Inputs!$B$53-Inputs!$B$9)&lt;0,0,IF((2047-Inputs!$B$53-Inputs!$B$9)=0,Inputs!$B$67,IF((2047-Inputs!$B$53-Inputs!$B$9)=1,Inputs!$B$68,Inputs!$B$69)))</f>
        <v>0.474</v>
      </c>
      <c r="Z33" s="40" t="n">
        <f aca="false">IF((2048-Inputs!$B$53-Inputs!$B$9)&lt;0,0,IF((2048-Inputs!$B$53-Inputs!$B$9)=0,Inputs!$B$67,IF((2048-Inputs!$B$53-Inputs!$B$9)=1,Inputs!$B$68,Inputs!$B$69)))</f>
        <v>0.474</v>
      </c>
      <c r="AA33" s="40" t="n">
        <f aca="false">IF((2049-Inputs!$B$53-Inputs!$B$9)&lt;0,0,IF((2049-Inputs!$B$53-Inputs!$B$9)=0,Inputs!$B$67,IF((2049-Inputs!$B$53-Inputs!$B$9)=1,Inputs!$B$68,Inputs!$B$69)))</f>
        <v>0.474</v>
      </c>
      <c r="AB33" s="40" t="n">
        <f aca="false">IF((2050-Inputs!$B$53-Inputs!$B$9)&lt;0,0,IF((2050-Inputs!$B$53-Inputs!$B$9)=0,Inputs!$B$67,IF((2050-Inputs!$B$53-Inputs!$B$9)=1,Inputs!$B$68,Inputs!$B$69)))</f>
        <v>0.474</v>
      </c>
      <c r="AC33" s="40" t="n">
        <f aca="false">IF((2051-Inputs!$B$53-Inputs!$B$9)&lt;0,0,IF((2051-Inputs!$B$53-Inputs!$B$9)=0,Inputs!$B$67,IF((2051-Inputs!$B$53-Inputs!$B$9)=1,Inputs!$B$68,Inputs!$B$69)))</f>
        <v>0.474</v>
      </c>
      <c r="AD33" s="40" t="n">
        <f aca="false">IF((2052-Inputs!$B$53-Inputs!$B$9)&lt;0,0,IF((2052-Inputs!$B$53-Inputs!$B$9)=0,Inputs!$B$67,IF((2052-Inputs!$B$53-Inputs!$B$9)=1,Inputs!$B$68,Inputs!$B$69)))</f>
        <v>0.474</v>
      </c>
      <c r="AE33" s="40" t="n">
        <f aca="false">IF((2053-Inputs!$B$53-Inputs!$B$9)&lt;0,0,IF((2053-Inputs!$B$53-Inputs!$B$9)=0,Inputs!$B$67,IF((2053-Inputs!$B$53-Inputs!$B$9)=1,Inputs!$B$68,Inputs!$B$69)))</f>
        <v>0.474</v>
      </c>
      <c r="AF33" s="40" t="n">
        <f aca="false">IF((2054-Inputs!$B$53-Inputs!$B$9)&lt;0,0,IF((2054-Inputs!$B$53-Inputs!$B$9)=0,Inputs!$B$67,IF((2054-Inputs!$B$53-Inputs!$B$9)=1,Inputs!$B$68,Inputs!$B$69)))</f>
        <v>0.474</v>
      </c>
      <c r="AG33" s="40" t="n">
        <f aca="false">IF((2055-Inputs!$B$53-Inputs!$B$9)&lt;0,0,IF((2055-Inputs!$B$53-Inputs!$B$9)=0,Inputs!$B$67,IF((2055-Inputs!$B$53-Inputs!$B$9)=1,Inputs!$B$68,Inputs!$B$69)))</f>
        <v>0.474</v>
      </c>
      <c r="AH33" s="40" t="n">
        <f aca="false">IF((2056-Inputs!$B$53-Inputs!$B$9)&lt;0,0,IF((2056-Inputs!$B$53-Inputs!$B$9)=0,Inputs!$B$67,IF((2056-Inputs!$B$53-Inputs!$B$9)=1,Inputs!$B$68,Inputs!$B$69)))</f>
        <v>0.474</v>
      </c>
      <c r="AI33" s="40" t="n">
        <f aca="false">IF((2057-Inputs!$B$53-Inputs!$B$9)&lt;0,0,IF((2057-Inputs!$B$53-Inputs!$B$9)=0,Inputs!$B$67,IF((2057-Inputs!$B$53-Inputs!$B$9)=1,Inputs!$B$68,Inputs!$B$69)))</f>
        <v>0.474</v>
      </c>
      <c r="AJ33" s="40" t="n">
        <f aca="false">IF((2058-Inputs!$B$53-Inputs!$B$9)&lt;0,0,IF((2058-Inputs!$B$53-Inputs!$B$9)=0,Inputs!$B$67,IF((2058-Inputs!$B$53-Inputs!$B$9)=1,Inputs!$B$68,Inputs!$B$69)))</f>
        <v>0.474</v>
      </c>
      <c r="AK33" s="40" t="n">
        <f aca="false">IF((2059-Inputs!$B$53-Inputs!$B$9)&lt;0,0,IF((2059-Inputs!$B$53-Inputs!$B$9)=0,Inputs!$B$67,IF((2059-Inputs!$B$53-Inputs!$B$9)=1,Inputs!$B$68,Inputs!$B$69)))</f>
        <v>0.474</v>
      </c>
      <c r="AL33" s="40" t="n">
        <f aca="false">IF((2060-Inputs!$B$53-Inputs!$B$9)&lt;0,0,IF((2060-Inputs!$B$53-Inputs!$B$9)=0,Inputs!$B$67,IF((2060-Inputs!$B$53-Inputs!$B$9)=1,Inputs!$B$68,Inputs!$B$69)))</f>
        <v>0.474</v>
      </c>
      <c r="AM33" s="40" t="n">
        <f aca="false">IF((2061-Inputs!$B$53-Inputs!$B$9)&lt;0,0,IF((2061-Inputs!$B$53-Inputs!$B$9)=0,Inputs!$B$67,IF((2061-Inputs!$B$53-Inputs!$B$9)=1,Inputs!$B$68,Inputs!$B$69)))</f>
        <v>0.474</v>
      </c>
      <c r="AN33" s="40" t="n">
        <f aca="false">IF((2062-Inputs!$B$53-Inputs!$B$9)&lt;0,0,IF((2062-Inputs!$B$53-Inputs!$B$9)=0,Inputs!$B$67,IF((2062-Inputs!$B$53-Inputs!$B$9)=1,Inputs!$B$68,Inputs!$B$69)))</f>
        <v>0.474</v>
      </c>
      <c r="AO33" s="40" t="n">
        <f aca="false">IF((2063-Inputs!$B$53-Inputs!$B$9)&lt;0,0,IF((2063-Inputs!$B$53-Inputs!$B$9)=0,Inputs!$B$67,IF((2063-Inputs!$B$53-Inputs!$B$9)=1,Inputs!$B$68,Inputs!$B$69)))</f>
        <v>0.474</v>
      </c>
      <c r="AP33" s="40" t="n">
        <f aca="false">IF((2064-Inputs!$B$53-Inputs!$B$9)&lt;0,0,IF((2064-Inputs!$B$53-Inputs!$B$9)=0,Inputs!$B$67,IF((2064-Inputs!$B$53-Inputs!$B$9)=1,Inputs!$B$68,Inputs!$B$69)))</f>
        <v>0.474</v>
      </c>
      <c r="AQ33" s="40" t="n">
        <f aca="false">IF((2065-Inputs!$B$53-Inputs!$B$9)&lt;0,0,IF((2065-Inputs!$B$53-Inputs!$B$9)=0,Inputs!$B$67,IF((2065-Inputs!$B$53-Inputs!$B$9)=1,Inputs!$B$68,Inputs!$B$69)))</f>
        <v>0.474</v>
      </c>
      <c r="AR33" s="40" t="n">
        <f aca="false">IF((2066-Inputs!$B$53-Inputs!$B$9)&lt;0,0,IF((2066-Inputs!$B$53-Inputs!$B$9)=0,Inputs!$B$67,IF((2066-Inputs!$B$53-Inputs!$B$9)=1,Inputs!$B$68,Inputs!$B$69)))</f>
        <v>0.474</v>
      </c>
      <c r="AS33" s="40" t="n">
        <f aca="false">IF((2067-Inputs!$B$53-Inputs!$B$9)&lt;0,0,IF((2067-Inputs!$B$53-Inputs!$B$9)=0,Inputs!$B$67,IF((2067-Inputs!$B$53-Inputs!$B$9)=1,Inputs!$B$68,Inputs!$B$69)))</f>
        <v>0.474</v>
      </c>
      <c r="AT33" s="40" t="n">
        <f aca="false">IF((2068-Inputs!$B$53-Inputs!$B$9)&lt;0,0,IF((2068-Inputs!$B$53-Inputs!$B$9)=0,Inputs!$B$67,IF((2068-Inputs!$B$53-Inputs!$B$9)=1,Inputs!$B$68,Inputs!$B$69)))</f>
        <v>0.474</v>
      </c>
      <c r="AU33" s="40" t="n">
        <f aca="false">IF((2069-Inputs!$B$53-Inputs!$B$9)&lt;0,0,IF((2069-Inputs!$B$53-Inputs!$B$9)=0,Inputs!$B$67,IF((2069-Inputs!$B$53-Inputs!$B$9)=1,Inputs!$B$68,Inputs!$B$69)))</f>
        <v>0.474</v>
      </c>
      <c r="AV33" s="40" t="n">
        <f aca="false">IF((2070-Inputs!$B$53-Inputs!$B$9)&lt;0,0,IF((2070-Inputs!$B$53-Inputs!$B$9)=0,Inputs!$B$67,IF((2070-Inputs!$B$53-Inputs!$B$9)=1,Inputs!$B$68,Inputs!$B$69)))</f>
        <v>0.474</v>
      </c>
      <c r="AW33" s="40" t="n">
        <f aca="false">IF((2071-Inputs!$B$53-Inputs!$B$9)&lt;0,0,IF((2071-Inputs!$B$53-Inputs!$B$9)=0,Inputs!$B$67,IF((2071-Inputs!$B$53-Inputs!$B$9)=1,Inputs!$B$68,Inputs!$B$69)))</f>
        <v>0.474</v>
      </c>
      <c r="AX33" s="40" t="n">
        <f aca="false">IF((2072-Inputs!$B$53-Inputs!$B$9)&lt;0,0,IF((2072-Inputs!$B$53-Inputs!$B$9)=0,Inputs!$B$67,IF((2072-Inputs!$B$53-Inputs!$B$9)=1,Inputs!$B$68,Inputs!$B$69)))</f>
        <v>0.474</v>
      </c>
      <c r="AY33" s="40" t="n">
        <f aca="false">IF((2073-Inputs!$B$53-Inputs!$B$9)&lt;0,0,IF((2073-Inputs!$B$53-Inputs!$B$9)=0,Inputs!$B$67,IF((2073-Inputs!$B$53-Inputs!$B$9)=1,Inputs!$B$68,Inputs!$B$69)))</f>
        <v>0.474</v>
      </c>
      <c r="AZ33" s="40" t="n">
        <f aca="false">IF((2074-Inputs!$B$53-Inputs!$B$9)&lt;0,0,IF((2074-Inputs!$B$53-Inputs!$B$9)=0,Inputs!$B$67,IF((2074-Inputs!$B$53-Inputs!$B$9)=1,Inputs!$B$68,Inputs!$B$69)))</f>
        <v>0.474</v>
      </c>
    </row>
    <row r="34" customFormat="false" ht="15" hidden="false" customHeight="false" outlineLevel="0" collapsed="false">
      <c r="A34" s="33" t="s">
        <v>143</v>
      </c>
      <c r="C34" s="34" t="n">
        <f aca="false">SUM(D34:AZ34)</f>
        <v>3783.62075260165</v>
      </c>
      <c r="D34" s="34" t="n">
        <f aca="false">D31*D33</f>
        <v>0</v>
      </c>
      <c r="E34" s="34" t="n">
        <f aca="false">E31*E33</f>
        <v>0</v>
      </c>
      <c r="F34" s="34" t="n">
        <f aca="false">F31*F33</f>
        <v>0</v>
      </c>
      <c r="G34" s="34" t="n">
        <f aca="false">G31*G33</f>
        <v>20.5262925209832</v>
      </c>
      <c r="H34" s="34" t="n">
        <f aca="false">H31*H33</f>
        <v>46.0363542106547</v>
      </c>
      <c r="I34" s="34" t="n">
        <f aca="false">I31*I33</f>
        <v>50.8200138554034</v>
      </c>
      <c r="J34" s="34" t="n">
        <f aca="false">J31*J33</f>
        <v>51.9431361616078</v>
      </c>
      <c r="K34" s="34" t="n">
        <f aca="false">K31*K33</f>
        <v>53.0910794707794</v>
      </c>
      <c r="L34" s="34" t="n">
        <f aca="false">L31*L33</f>
        <v>54.2643923270836</v>
      </c>
      <c r="M34" s="34" t="n">
        <f aca="false">M31*M33</f>
        <v>55.4636353975121</v>
      </c>
      <c r="N34" s="34" t="n">
        <f aca="false">N31*N33</f>
        <v>56.6893817397972</v>
      </c>
      <c r="O34" s="34" t="n">
        <f aca="false">O31*O33</f>
        <v>57.9422170762467</v>
      </c>
      <c r="P34" s="34" t="n">
        <f aca="false">P31*P33</f>
        <v>59.2227400736317</v>
      </c>
      <c r="Q34" s="34" t="n">
        <f aca="false">Q31*Q33</f>
        <v>60.531562629259</v>
      </c>
      <c r="R34" s="34" t="n">
        <f aca="false">R31*R33</f>
        <v>61.8693101633656</v>
      </c>
      <c r="S34" s="34" t="n">
        <f aca="false">S31*S33</f>
        <v>63.236621917976</v>
      </c>
      <c r="T34" s="34" t="n">
        <f aca="false">T31*T33</f>
        <v>64.6341512623633</v>
      </c>
      <c r="U34" s="34" t="n">
        <f aca="false">U31*U33</f>
        <v>66.0625660052615</v>
      </c>
      <c r="V34" s="34" t="n">
        <f aca="false">V31*V33</f>
        <v>67.5225487139778</v>
      </c>
      <c r="W34" s="34" t="n">
        <f aca="false">W31*W33</f>
        <v>69.0147970405567</v>
      </c>
      <c r="X34" s="34" t="n">
        <f aca="false">X31*X33</f>
        <v>70.540024055153</v>
      </c>
      <c r="Y34" s="34" t="n">
        <f aca="false">Y31*Y33</f>
        <v>72.0989585867719</v>
      </c>
      <c r="Z34" s="34" t="n">
        <f aca="false">Z31*Z33</f>
        <v>73.6923455715395</v>
      </c>
      <c r="AA34" s="34" t="n">
        <f aca="false">AA31*AA33</f>
        <v>75.3209464086706</v>
      </c>
      <c r="AB34" s="34" t="n">
        <f aca="false">AB31*AB33</f>
        <v>76.9855393243022</v>
      </c>
      <c r="AC34" s="34" t="n">
        <f aca="false">AC31*AC33</f>
        <v>78.6869197433692</v>
      </c>
      <c r="AD34" s="34" t="n">
        <f aca="false">AD31*AD33</f>
        <v>80.4259006696977</v>
      </c>
      <c r="AE34" s="34" t="n">
        <f aca="false">AE31*AE33</f>
        <v>82.203313074498</v>
      </c>
      <c r="AF34" s="34" t="n">
        <f aca="false">AF31*AF33</f>
        <v>84.0200062934444</v>
      </c>
      <c r="AG34" s="34" t="n">
        <f aca="false">AG31*AG33</f>
        <v>85.8768484325296</v>
      </c>
      <c r="AH34" s="34" t="n">
        <f aca="false">AH31*AH33</f>
        <v>87.7747267828885</v>
      </c>
      <c r="AI34" s="34" t="n">
        <f aca="false">AI31*AI33</f>
        <v>89.7145482447903</v>
      </c>
      <c r="AJ34" s="34" t="n">
        <f aca="false">AJ31*AJ33</f>
        <v>91.6972397610002</v>
      </c>
      <c r="AK34" s="34" t="n">
        <f aca="false">AK31*AK33</f>
        <v>93.7237487597183</v>
      </c>
      <c r="AL34" s="34" t="n">
        <f aca="false">AL31*AL33</f>
        <v>95.7950436073081</v>
      </c>
      <c r="AM34" s="34" t="n">
        <f aca="false">AM31*AM33</f>
        <v>97.9121140710295</v>
      </c>
      <c r="AN34" s="34" t="n">
        <f aca="false">AN31*AN33</f>
        <v>100.075971791999</v>
      </c>
      <c r="AO34" s="34" t="n">
        <f aca="false">AO31*AO33</f>
        <v>102.287650768602</v>
      </c>
      <c r="AP34" s="34" t="n">
        <f aca="false">AP31*AP33</f>
        <v>104.548207850589</v>
      </c>
      <c r="AQ34" s="34" t="n">
        <f aca="false">AQ31*AQ33</f>
        <v>106.858723244087</v>
      </c>
      <c r="AR34" s="34" t="n">
        <f aca="false">AR31*AR33</f>
        <v>109.220301027781</v>
      </c>
      <c r="AS34" s="34" t="n">
        <f aca="false">AS31*AS33</f>
        <v>111.634069680495</v>
      </c>
      <c r="AT34" s="34" t="n">
        <f aca="false">AT31*AT33</f>
        <v>114.101182620434</v>
      </c>
      <c r="AU34" s="34" t="n">
        <f aca="false">AU31*AU33</f>
        <v>116.622818756345</v>
      </c>
      <c r="AV34" s="34" t="n">
        <f aca="false">AV31*AV33</f>
        <v>119.200183050861</v>
      </c>
      <c r="AW34" s="34" t="n">
        <f aca="false">AW31*AW33</f>
        <v>121.834507096285</v>
      </c>
      <c r="AX34" s="34" t="n">
        <f aca="false">AX31*AX33</f>
        <v>124.527049703113</v>
      </c>
      <c r="AY34" s="34" t="n">
        <f aca="false">AY31*AY33</f>
        <v>127.279097501551</v>
      </c>
      <c r="AZ34" s="34" t="n">
        <f aca="false">AZ31*AZ33</f>
        <v>130.091965556336</v>
      </c>
    </row>
    <row r="35" customFormat="false" ht="15" hidden="false" customHeight="false" outlineLevel="0" collapsed="false">
      <c r="A35" s="33" t="s">
        <v>144</v>
      </c>
      <c r="C35" s="34" t="n">
        <f aca="false">SUM(D35:AZ35)</f>
        <v>-861.863397965811</v>
      </c>
      <c r="D35" s="34" t="n">
        <f aca="false">-(D31*(Inputs!$B$70+Inputs!$B$72)+D34*Inputs!$B$71)</f>
        <v>-0</v>
      </c>
      <c r="E35" s="34" t="n">
        <f aca="false">-(E31*(Inputs!$B$70+Inputs!$B$72)+E34*Inputs!$B$71)</f>
        <v>-0</v>
      </c>
      <c r="F35" s="34" t="n">
        <f aca="false">-(F31*(Inputs!$B$70+Inputs!$B$72)+F34*Inputs!$B$71)</f>
        <v>-0</v>
      </c>
      <c r="G35" s="34" t="n">
        <f aca="false">-(G31*(Inputs!$B$70+Inputs!$B$72)+G34*Inputs!$B$71)</f>
        <v>-4.89287371043166</v>
      </c>
      <c r="H35" s="34" t="n">
        <f aca="false">-(H31*(Inputs!$B$70+Inputs!$B$72)+H34*Inputs!$B$71)</f>
        <v>-10.6732441172121</v>
      </c>
      <c r="I35" s="34" t="n">
        <f aca="false">-(I31*(Inputs!$B$70+Inputs!$B$72)+I34*Inputs!$B$71)</f>
        <v>-11.5706664457281</v>
      </c>
      <c r="J35" s="34" t="n">
        <f aca="false">-(J31*(Inputs!$B$70+Inputs!$B$72)+J34*Inputs!$B$71)</f>
        <v>-11.8263781741787</v>
      </c>
      <c r="K35" s="34" t="n">
        <f aca="false">-(K31*(Inputs!$B$70+Inputs!$B$72)+K34*Inputs!$B$71)</f>
        <v>-12.0877411318281</v>
      </c>
      <c r="L35" s="34" t="n">
        <f aca="false">-(L31*(Inputs!$B$70+Inputs!$B$72)+L34*Inputs!$B$71)</f>
        <v>-12.3548802108415</v>
      </c>
      <c r="M35" s="34" t="n">
        <f aca="false">-(M31*(Inputs!$B$70+Inputs!$B$72)+M34*Inputs!$B$71)</f>
        <v>-12.6279230635011</v>
      </c>
      <c r="N35" s="34" t="n">
        <f aca="false">-(N31*(Inputs!$B$70+Inputs!$B$72)+N34*Inputs!$B$71)</f>
        <v>-12.9070001632045</v>
      </c>
      <c r="O35" s="34" t="n">
        <f aca="false">-(O31*(Inputs!$B$70+Inputs!$B$72)+O34*Inputs!$B$71)</f>
        <v>-13.1922448668113</v>
      </c>
      <c r="P35" s="34" t="n">
        <f aca="false">-(P31*(Inputs!$B$70+Inputs!$B$72)+P34*Inputs!$B$71)</f>
        <v>-13.4837934783678</v>
      </c>
      <c r="Q35" s="34" t="n">
        <f aca="false">-(Q31*(Inputs!$B$70+Inputs!$B$72)+Q34*Inputs!$B$71)</f>
        <v>-13.7817853142397</v>
      </c>
      <c r="R35" s="34" t="n">
        <f aca="false">-(R31*(Inputs!$B$70+Inputs!$B$72)+R34*Inputs!$B$71)</f>
        <v>-14.0863627696844</v>
      </c>
      <c r="S35" s="34" t="n">
        <f aca="false">-(S31*(Inputs!$B$70+Inputs!$B$72)+S34*Inputs!$B$71)</f>
        <v>-14.3976713868945</v>
      </c>
      <c r="T35" s="34" t="n">
        <f aca="false">-(T31*(Inputs!$B$70+Inputs!$B$72)+T34*Inputs!$B$71)</f>
        <v>-14.7158599245448</v>
      </c>
      <c r="U35" s="34" t="n">
        <f aca="false">-(U31*(Inputs!$B$70+Inputs!$B$72)+U34*Inputs!$B$71)</f>
        <v>-15.0410804288773</v>
      </c>
      <c r="V35" s="34" t="n">
        <f aca="false">-(V31*(Inputs!$B$70+Inputs!$B$72)+V34*Inputs!$B$71)</f>
        <v>-15.3734883063554</v>
      </c>
      <c r="W35" s="34" t="n">
        <f aca="false">-(W31*(Inputs!$B$70+Inputs!$B$72)+W34*Inputs!$B$71)</f>
        <v>-15.7132423979259</v>
      </c>
      <c r="X35" s="34" t="n">
        <f aca="false">-(X31*(Inputs!$B$70+Inputs!$B$72)+X34*Inputs!$B$71)</f>
        <v>-16.0605050549201</v>
      </c>
      <c r="Y35" s="34" t="n">
        <f aca="false">-(Y31*(Inputs!$B$70+Inputs!$B$72)+Y34*Inputs!$B$71)</f>
        <v>-16.4154422166338</v>
      </c>
      <c r="Z35" s="34" t="n">
        <f aca="false">-(Z31*(Inputs!$B$70+Inputs!$B$72)+Z34*Inputs!$B$71)</f>
        <v>-16.7782234896214</v>
      </c>
      <c r="AA35" s="34" t="n">
        <f aca="false">-(AA31*(Inputs!$B$70+Inputs!$B$72)+AA34*Inputs!$B$71)</f>
        <v>-17.149022228742</v>
      </c>
      <c r="AB35" s="34" t="n">
        <f aca="false">-(AB31*(Inputs!$B$70+Inputs!$B$72)+AB34*Inputs!$B$71)</f>
        <v>-17.5280156199972</v>
      </c>
      <c r="AC35" s="34" t="n">
        <f aca="false">-(AC31*(Inputs!$B$70+Inputs!$B$72)+AC34*Inputs!$B$71)</f>
        <v>-17.9153847651992</v>
      </c>
      <c r="AD35" s="34" t="n">
        <f aca="false">-(AD31*(Inputs!$B$70+Inputs!$B$72)+AD34*Inputs!$B$71)</f>
        <v>-18.3113147685101</v>
      </c>
      <c r="AE35" s="34" t="n">
        <f aca="false">-(AE31*(Inputs!$B$70+Inputs!$B$72)+AE34*Inputs!$B$71)</f>
        <v>-18.7159948248942</v>
      </c>
      <c r="AF35" s="34" t="n">
        <f aca="false">-(AF31*(Inputs!$B$70+Inputs!$B$72)+AF34*Inputs!$B$71)</f>
        <v>-19.1296183105243</v>
      </c>
      <c r="AG35" s="34" t="n">
        <f aca="false">-(AG31*(Inputs!$B$70+Inputs!$B$72)+AG34*Inputs!$B$71)</f>
        <v>-19.5523828751869</v>
      </c>
      <c r="AH35" s="34" t="n">
        <f aca="false">-(AH31*(Inputs!$B$70+Inputs!$B$72)+AH34*Inputs!$B$71)</f>
        <v>-19.9844905367285</v>
      </c>
      <c r="AI35" s="34" t="n">
        <f aca="false">-(AI31*(Inputs!$B$70+Inputs!$B$72)+AI34*Inputs!$B$71)</f>
        <v>-20.4261477775902</v>
      </c>
      <c r="AJ35" s="34" t="n">
        <f aca="false">-(AJ31*(Inputs!$B$70+Inputs!$B$72)+AJ34*Inputs!$B$71)</f>
        <v>-20.877565643475</v>
      </c>
      <c r="AK35" s="34" t="n">
        <f aca="false">-(AK31*(Inputs!$B$70+Inputs!$B$72)+AK34*Inputs!$B$71)</f>
        <v>-21.3389598441958</v>
      </c>
      <c r="AL35" s="34" t="n">
        <f aca="false">-(AL31*(Inputs!$B$70+Inputs!$B$72)+AL34*Inputs!$B$71)</f>
        <v>-21.8105508567525</v>
      </c>
      <c r="AM35" s="34" t="n">
        <f aca="false">-(AM31*(Inputs!$B$70+Inputs!$B$72)+AM34*Inputs!$B$71)</f>
        <v>-22.2925640306867</v>
      </c>
      <c r="AN35" s="34" t="n">
        <f aca="false">-(AN31*(Inputs!$B$70+Inputs!$B$72)+AN34*Inputs!$B$71)</f>
        <v>-22.7852296957649</v>
      </c>
      <c r="AO35" s="34" t="n">
        <f aca="false">-(AO31*(Inputs!$B$70+Inputs!$B$72)+AO34*Inputs!$B$71)</f>
        <v>-23.2887832720413</v>
      </c>
      <c r="AP35" s="34" t="n">
        <f aca="false">-(AP31*(Inputs!$B$70+Inputs!$B$72)+AP34*Inputs!$B$71)</f>
        <v>-23.8034653823534</v>
      </c>
      <c r="AQ35" s="34" t="n">
        <f aca="false">-(AQ31*(Inputs!$B$70+Inputs!$B$72)+AQ34*Inputs!$B$71)</f>
        <v>-24.3295219673034</v>
      </c>
      <c r="AR35" s="34" t="n">
        <f aca="false">-(AR31*(Inputs!$B$70+Inputs!$B$72)+AR34*Inputs!$B$71)</f>
        <v>-24.8672044027808</v>
      </c>
      <c r="AS35" s="34" t="n">
        <f aca="false">-(AS31*(Inputs!$B$70+Inputs!$B$72)+AS34*Inputs!$B$71)</f>
        <v>-25.4167696200823</v>
      </c>
      <c r="AT35" s="34" t="n">
        <f aca="false">-(AT31*(Inputs!$B$70+Inputs!$B$72)+AT34*Inputs!$B$71)</f>
        <v>-25.9784802286861</v>
      </c>
      <c r="AU35" s="34" t="n">
        <f aca="false">-(AU31*(Inputs!$B$70+Inputs!$B$72)+AU34*Inputs!$B$71)</f>
        <v>-26.5526046417401</v>
      </c>
      <c r="AV35" s="34" t="n">
        <f aca="false">-(AV31*(Inputs!$B$70+Inputs!$B$72)+AV34*Inputs!$B$71)</f>
        <v>-27.1394172043225</v>
      </c>
      <c r="AW35" s="34" t="n">
        <f aca="false">-(AW31*(Inputs!$B$70+Inputs!$B$72)+AW34*Inputs!$B$71)</f>
        <v>-27.7391983245381</v>
      </c>
      <c r="AX35" s="34" t="n">
        <f aca="false">-(AX31*(Inputs!$B$70+Inputs!$B$72)+AX34*Inputs!$B$71)</f>
        <v>-28.3522346075104</v>
      </c>
      <c r="AY35" s="34" t="n">
        <f aca="false">-(AY31*(Inputs!$B$70+Inputs!$B$72)+AY34*Inputs!$B$71)</f>
        <v>-28.9788189923363</v>
      </c>
      <c r="AZ35" s="34" t="n">
        <f aca="false">-(AZ31*(Inputs!$B$70+Inputs!$B$72)+AZ34*Inputs!$B$71)</f>
        <v>-29.619250892067</v>
      </c>
    </row>
    <row r="36" customFormat="false" ht="15" hidden="false" customHeight="false" outlineLevel="0" collapsed="false">
      <c r="A36" s="3" t="s">
        <v>145</v>
      </c>
      <c r="C36" s="36" t="n">
        <f aca="false">SUM(D36:AZ36)</f>
        <v>2921.75735463584</v>
      </c>
      <c r="D36" s="36" t="n">
        <f aca="false">D34+D35</f>
        <v>0</v>
      </c>
      <c r="E36" s="36" t="n">
        <f aca="false">E34+E35</f>
        <v>0</v>
      </c>
      <c r="F36" s="36" t="n">
        <f aca="false">F34+F35</f>
        <v>0</v>
      </c>
      <c r="G36" s="36" t="n">
        <f aca="false">G34+G35</f>
        <v>15.6334188105516</v>
      </c>
      <c r="H36" s="36" t="n">
        <f aca="false">H34+H35</f>
        <v>35.3631100934426</v>
      </c>
      <c r="I36" s="36" t="n">
        <f aca="false">I34+I35</f>
        <v>39.2493474096753</v>
      </c>
      <c r="J36" s="36" t="n">
        <f aca="false">J34+J35</f>
        <v>40.1167579874291</v>
      </c>
      <c r="K36" s="36" t="n">
        <f aca="false">K34+K35</f>
        <v>41.0033383389513</v>
      </c>
      <c r="L36" s="36" t="n">
        <f aca="false">L34+L35</f>
        <v>41.9095121162421</v>
      </c>
      <c r="M36" s="36" t="n">
        <f aca="false">M34+M35</f>
        <v>42.8357123340111</v>
      </c>
      <c r="N36" s="36" t="n">
        <f aca="false">N34+N35</f>
        <v>43.7823815765927</v>
      </c>
      <c r="O36" s="36" t="n">
        <f aca="false">O34+O35</f>
        <v>44.7499722094354</v>
      </c>
      <c r="P36" s="36" t="n">
        <f aca="false">P34+P35</f>
        <v>45.7389465952639</v>
      </c>
      <c r="Q36" s="36" t="n">
        <f aca="false">Q34+Q35</f>
        <v>46.7497773150193</v>
      </c>
      <c r="R36" s="36" t="n">
        <f aca="false">R34+R35</f>
        <v>47.7829473936812</v>
      </c>
      <c r="S36" s="36" t="n">
        <f aca="false">S34+S35</f>
        <v>48.8389505310815</v>
      </c>
      <c r="T36" s="36" t="n">
        <f aca="false">T34+T35</f>
        <v>49.9182913378184</v>
      </c>
      <c r="U36" s="36" t="n">
        <f aca="false">U34+U35</f>
        <v>51.0214855763842</v>
      </c>
      <c r="V36" s="36" t="n">
        <f aca="false">V34+V35</f>
        <v>52.1490604076223</v>
      </c>
      <c r="W36" s="36" t="n">
        <f aca="false">W34+W35</f>
        <v>53.3015546426308</v>
      </c>
      <c r="X36" s="36" t="n">
        <f aca="false">X34+X35</f>
        <v>54.4795190002329</v>
      </c>
      <c r="Y36" s="36" t="n">
        <f aca="false">Y34+Y35</f>
        <v>55.6835163701381</v>
      </c>
      <c r="Z36" s="36" t="n">
        <f aca="false">Z34+Z35</f>
        <v>56.9141220819181</v>
      </c>
      <c r="AA36" s="36" t="n">
        <f aca="false">AA34+AA35</f>
        <v>58.1719241799285</v>
      </c>
      <c r="AB36" s="36" t="n">
        <f aca="false">AB34+AB35</f>
        <v>59.4575237043049</v>
      </c>
      <c r="AC36" s="36" t="n">
        <f aca="false">AC34+AC35</f>
        <v>60.7715349781701</v>
      </c>
      <c r="AD36" s="36" t="n">
        <f aca="false">AD34+AD35</f>
        <v>62.1145859011876</v>
      </c>
      <c r="AE36" s="36" t="n">
        <f aca="false">AE34+AE35</f>
        <v>63.4873182496039</v>
      </c>
      <c r="AF36" s="36" t="n">
        <f aca="false">AF34+AF35</f>
        <v>64.8903879829201</v>
      </c>
      <c r="AG36" s="36" t="n">
        <f aca="false">AG34+AG35</f>
        <v>66.3244655573427</v>
      </c>
      <c r="AH36" s="36" t="n">
        <f aca="false">AH34+AH35</f>
        <v>67.7902362461599</v>
      </c>
      <c r="AI36" s="36" t="n">
        <f aca="false">AI34+AI35</f>
        <v>69.2884004672001</v>
      </c>
      <c r="AJ36" s="36" t="n">
        <f aca="false">AJ34+AJ35</f>
        <v>70.8196741175252</v>
      </c>
      <c r="AK36" s="36" t="n">
        <f aca="false">AK34+AK35</f>
        <v>72.3847889155225</v>
      </c>
      <c r="AL36" s="36" t="n">
        <f aca="false">AL34+AL35</f>
        <v>73.9844927505556</v>
      </c>
      <c r="AM36" s="36" t="n">
        <f aca="false">AM34+AM35</f>
        <v>75.6195500403428</v>
      </c>
      <c r="AN36" s="36" t="n">
        <f aca="false">AN34+AN35</f>
        <v>77.2907420962344</v>
      </c>
      <c r="AO36" s="36" t="n">
        <f aca="false">AO34+AO35</f>
        <v>78.9988674965612</v>
      </c>
      <c r="AP36" s="36" t="n">
        <f aca="false">AP34+AP35</f>
        <v>80.7447424682352</v>
      </c>
      <c r="AQ36" s="36" t="n">
        <f aca="false">AQ34+AQ35</f>
        <v>82.5292012767832</v>
      </c>
      <c r="AR36" s="36" t="n">
        <f aca="false">AR34+AR35</f>
        <v>84.3530966250001</v>
      </c>
      <c r="AS36" s="36" t="n">
        <f aca="false">AS34+AS35</f>
        <v>86.2173000604126</v>
      </c>
      <c r="AT36" s="36" t="n">
        <f aca="false">AT34+AT35</f>
        <v>88.1227023917477</v>
      </c>
      <c r="AU36" s="36" t="n">
        <f aca="false">AU34+AU35</f>
        <v>90.0702141146053</v>
      </c>
      <c r="AV36" s="36" t="n">
        <f aca="false">AV34+AV35</f>
        <v>92.0607658465381</v>
      </c>
      <c r="AW36" s="36" t="n">
        <f aca="false">AW34+AW35</f>
        <v>94.0953087717466</v>
      </c>
      <c r="AX36" s="36" t="n">
        <f aca="false">AX34+AX35</f>
        <v>96.1748150956022</v>
      </c>
      <c r="AY36" s="36" t="n">
        <f aca="false">AY34+AY35</f>
        <v>98.300278509215</v>
      </c>
      <c r="AZ36" s="36" t="n">
        <f aca="false">AZ34+AZ35</f>
        <v>100.472714664269</v>
      </c>
    </row>
    <row r="38" customFormat="false" ht="15" hidden="false" customHeight="false" outlineLevel="0" collapsed="false">
      <c r="A38" s="31" t="s">
        <v>146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</row>
    <row r="39" customFormat="false" ht="15" hidden="false" customHeight="false" outlineLevel="0" collapsed="false">
      <c r="A39" s="33" t="s">
        <v>147</v>
      </c>
      <c r="C39" s="34" t="n">
        <f aca="false">SUM(D39:AZ39)</f>
        <v>0</v>
      </c>
      <c r="D39" s="34" t="n">
        <f aca="false">-D31*Inputs!$B$13*Inputs!$B$14</f>
        <v>-0</v>
      </c>
      <c r="E39" s="34" t="n">
        <f aca="false">-E31*Inputs!$B$13*Inputs!$B$14</f>
        <v>-0</v>
      </c>
      <c r="F39" s="34" t="n">
        <f aca="false">-F31*Inputs!$B$13*Inputs!$B$14</f>
        <v>-0</v>
      </c>
      <c r="G39" s="34" t="n">
        <f aca="false">-G31*Inputs!$B$13*Inputs!$B$14</f>
        <v>-0</v>
      </c>
      <c r="H39" s="34" t="n">
        <f aca="false">-H31*Inputs!$B$13*Inputs!$B$14</f>
        <v>-0</v>
      </c>
      <c r="I39" s="34" t="n">
        <f aca="false">-I31*Inputs!$B$13*Inputs!$B$14</f>
        <v>-0</v>
      </c>
      <c r="J39" s="34" t="n">
        <f aca="false">-J31*Inputs!$B$13*Inputs!$B$14</f>
        <v>-0</v>
      </c>
      <c r="K39" s="34" t="n">
        <f aca="false">-K31*Inputs!$B$13*Inputs!$B$14</f>
        <v>-0</v>
      </c>
      <c r="L39" s="34" t="n">
        <f aca="false">-L31*Inputs!$B$13*Inputs!$B$14</f>
        <v>-0</v>
      </c>
      <c r="M39" s="34" t="n">
        <f aca="false">-M31*Inputs!$B$13*Inputs!$B$14</f>
        <v>-0</v>
      </c>
      <c r="N39" s="34" t="n">
        <f aca="false">-N31*Inputs!$B$13*Inputs!$B$14</f>
        <v>-0</v>
      </c>
      <c r="O39" s="34" t="n">
        <f aca="false">-O31*Inputs!$B$13*Inputs!$B$14</f>
        <v>-0</v>
      </c>
      <c r="P39" s="34" t="n">
        <f aca="false">-P31*Inputs!$B$13*Inputs!$B$14</f>
        <v>-0</v>
      </c>
      <c r="Q39" s="34" t="n">
        <f aca="false">-Q31*Inputs!$B$13*Inputs!$B$14</f>
        <v>-0</v>
      </c>
      <c r="R39" s="34" t="n">
        <f aca="false">-R31*Inputs!$B$13*Inputs!$B$14</f>
        <v>-0</v>
      </c>
      <c r="S39" s="34" t="n">
        <f aca="false">-S31*Inputs!$B$13*Inputs!$B$14</f>
        <v>-0</v>
      </c>
      <c r="T39" s="34" t="n">
        <f aca="false">-T31*Inputs!$B$13*Inputs!$B$14</f>
        <v>-0</v>
      </c>
      <c r="U39" s="34" t="n">
        <f aca="false">-U31*Inputs!$B$13*Inputs!$B$14</f>
        <v>-0</v>
      </c>
      <c r="V39" s="34" t="n">
        <f aca="false">-V31*Inputs!$B$13*Inputs!$B$14</f>
        <v>-0</v>
      </c>
      <c r="W39" s="34" t="n">
        <f aca="false">-W31*Inputs!$B$13*Inputs!$B$14</f>
        <v>-0</v>
      </c>
      <c r="X39" s="34" t="n">
        <f aca="false">-X31*Inputs!$B$13*Inputs!$B$14</f>
        <v>-0</v>
      </c>
      <c r="Y39" s="34" t="n">
        <f aca="false">-Y31*Inputs!$B$13*Inputs!$B$14</f>
        <v>-0</v>
      </c>
      <c r="Z39" s="34" t="n">
        <f aca="false">-Z31*Inputs!$B$13*Inputs!$B$14</f>
        <v>-0</v>
      </c>
      <c r="AA39" s="34" t="n">
        <f aca="false">-AA31*Inputs!$B$13*Inputs!$B$14</f>
        <v>-0</v>
      </c>
      <c r="AB39" s="34" t="n">
        <f aca="false">-AB31*Inputs!$B$13*Inputs!$B$14</f>
        <v>-0</v>
      </c>
      <c r="AC39" s="34" t="n">
        <f aca="false">-AC31*Inputs!$B$13*Inputs!$B$14</f>
        <v>-0</v>
      </c>
      <c r="AD39" s="34" t="n">
        <f aca="false">-AD31*Inputs!$B$13*Inputs!$B$14</f>
        <v>-0</v>
      </c>
      <c r="AE39" s="34" t="n">
        <f aca="false">-AE31*Inputs!$B$13*Inputs!$B$14</f>
        <v>-0</v>
      </c>
      <c r="AF39" s="34" t="n">
        <f aca="false">-AF31*Inputs!$B$13*Inputs!$B$14</f>
        <v>-0</v>
      </c>
      <c r="AG39" s="34" t="n">
        <f aca="false">-AG31*Inputs!$B$13*Inputs!$B$14</f>
        <v>-0</v>
      </c>
      <c r="AH39" s="34" t="n">
        <f aca="false">-AH31*Inputs!$B$13*Inputs!$B$14</f>
        <v>-0</v>
      </c>
      <c r="AI39" s="34" t="n">
        <f aca="false">-AI31*Inputs!$B$13*Inputs!$B$14</f>
        <v>-0</v>
      </c>
      <c r="AJ39" s="34" t="n">
        <f aca="false">-AJ31*Inputs!$B$13*Inputs!$B$14</f>
        <v>-0</v>
      </c>
      <c r="AK39" s="34" t="n">
        <f aca="false">-AK31*Inputs!$B$13*Inputs!$B$14</f>
        <v>-0</v>
      </c>
      <c r="AL39" s="34" t="n">
        <f aca="false">-AL31*Inputs!$B$13*Inputs!$B$14</f>
        <v>-0</v>
      </c>
      <c r="AM39" s="34" t="n">
        <f aca="false">-AM31*Inputs!$B$13*Inputs!$B$14</f>
        <v>-0</v>
      </c>
      <c r="AN39" s="34" t="n">
        <f aca="false">-AN31*Inputs!$B$13*Inputs!$B$14</f>
        <v>-0</v>
      </c>
      <c r="AO39" s="34" t="n">
        <f aca="false">-AO31*Inputs!$B$13*Inputs!$B$14</f>
        <v>-0</v>
      </c>
      <c r="AP39" s="34" t="n">
        <f aca="false">-AP31*Inputs!$B$13*Inputs!$B$14</f>
        <v>-0</v>
      </c>
      <c r="AQ39" s="34" t="n">
        <f aca="false">-AQ31*Inputs!$B$13*Inputs!$B$14</f>
        <v>-0</v>
      </c>
      <c r="AR39" s="34" t="n">
        <f aca="false">-AR31*Inputs!$B$13*Inputs!$B$14</f>
        <v>-0</v>
      </c>
      <c r="AS39" s="34" t="n">
        <f aca="false">-AS31*Inputs!$B$13*Inputs!$B$14</f>
        <v>-0</v>
      </c>
      <c r="AT39" s="34" t="n">
        <f aca="false">-AT31*Inputs!$B$13*Inputs!$B$14</f>
        <v>-0</v>
      </c>
      <c r="AU39" s="34" t="n">
        <f aca="false">-AU31*Inputs!$B$13*Inputs!$B$14</f>
        <v>-0</v>
      </c>
      <c r="AV39" s="34" t="n">
        <f aca="false">-AV31*Inputs!$B$13*Inputs!$B$14</f>
        <v>-0</v>
      </c>
      <c r="AW39" s="34" t="n">
        <f aca="false">-AW31*Inputs!$B$13*Inputs!$B$14</f>
        <v>-0</v>
      </c>
      <c r="AX39" s="34" t="n">
        <f aca="false">-AX31*Inputs!$B$13*Inputs!$B$14</f>
        <v>-0</v>
      </c>
      <c r="AY39" s="34" t="n">
        <f aca="false">-AY31*Inputs!$B$13*Inputs!$B$14</f>
        <v>-0</v>
      </c>
      <c r="AZ39" s="34" t="n">
        <f aca="false">-AZ31*Inputs!$B$13*Inputs!$B$14</f>
        <v>-0</v>
      </c>
    </row>
    <row r="40" customFormat="false" ht="15" hidden="false" customHeight="false" outlineLevel="0" collapsed="false">
      <c r="A40" s="33" t="s">
        <v>148</v>
      </c>
      <c r="C40" s="34" t="n">
        <f aca="false">SUM(D40:AZ40)</f>
        <v>-159.763925073623</v>
      </c>
      <c r="D40" s="34" t="n">
        <f aca="false">-D31*Inputs!$B$169</f>
        <v>-0</v>
      </c>
      <c r="E40" s="34" t="n">
        <f aca="false">-E31*Inputs!$B$169</f>
        <v>-0</v>
      </c>
      <c r="F40" s="34" t="n">
        <f aca="false">-F31*Inputs!$B$169</f>
        <v>-0</v>
      </c>
      <c r="G40" s="34" t="n">
        <f aca="false">-G31*Inputs!$B$169</f>
        <v>-0.928791516786571</v>
      </c>
      <c r="H40" s="34" t="n">
        <f aca="false">-H31*Inputs!$B$169</f>
        <v>-1.99723879438849</v>
      </c>
      <c r="I40" s="34" t="n">
        <f aca="false">-I31*Inputs!$B$169</f>
        <v>-2.14430438208453</v>
      </c>
      <c r="J40" s="34" t="n">
        <f aca="false">-J31*Inputs!$B$169</f>
        <v>-2.1916935089286</v>
      </c>
      <c r="K40" s="34" t="n">
        <f aca="false">-K31*Inputs!$B$169</f>
        <v>-2.24012993547592</v>
      </c>
      <c r="L40" s="34" t="n">
        <f aca="false">-L31*Inputs!$B$169</f>
        <v>-2.28963680704994</v>
      </c>
      <c r="M40" s="34" t="n">
        <f aca="false">-M31*Inputs!$B$169</f>
        <v>-2.34023778048574</v>
      </c>
      <c r="N40" s="34" t="n">
        <f aca="false">-N31*Inputs!$B$169</f>
        <v>-2.39195703543448</v>
      </c>
      <c r="O40" s="34" t="n">
        <f aca="false">-O31*Inputs!$B$169</f>
        <v>-2.44481928591758</v>
      </c>
      <c r="P40" s="34" t="n">
        <f aca="false">-P31*Inputs!$B$169</f>
        <v>-2.49884979213636</v>
      </c>
      <c r="Q40" s="34" t="n">
        <f aca="false">-Q31*Inputs!$B$169</f>
        <v>-2.55407437254257</v>
      </c>
      <c r="R40" s="34" t="n">
        <f aca="false">-R31*Inputs!$B$169</f>
        <v>-2.61051941617576</v>
      </c>
      <c r="S40" s="34" t="n">
        <f aca="false">-S31*Inputs!$B$169</f>
        <v>-2.66821189527325</v>
      </c>
      <c r="T40" s="34" t="n">
        <f aca="false">-T31*Inputs!$B$169</f>
        <v>-2.72717937815879</v>
      </c>
      <c r="U40" s="34" t="n">
        <f aca="false">-U31*Inputs!$B$169</f>
        <v>-2.7874500424161</v>
      </c>
      <c r="V40" s="34" t="n">
        <f aca="false">-V31*Inputs!$B$169</f>
        <v>-2.84905268835349</v>
      </c>
      <c r="W40" s="34" t="n">
        <f aca="false">-W31*Inputs!$B$169</f>
        <v>-2.9120167527661</v>
      </c>
      <c r="X40" s="34" t="n">
        <f aca="false">-X31*Inputs!$B$169</f>
        <v>-2.97637232300224</v>
      </c>
      <c r="Y40" s="34" t="n">
        <f aca="false">-Y31*Inputs!$B$169</f>
        <v>-3.04215015134059</v>
      </c>
      <c r="Z40" s="34" t="n">
        <f aca="false">-Z31*Inputs!$B$169</f>
        <v>-3.10938166968521</v>
      </c>
      <c r="AA40" s="34" t="n">
        <f aca="false">-AA31*Inputs!$B$169</f>
        <v>-3.17809900458526</v>
      </c>
      <c r="AB40" s="34" t="n">
        <f aca="false">-AB31*Inputs!$B$169</f>
        <v>-3.24833499258659</v>
      </c>
      <c r="AC40" s="34" t="n">
        <f aca="false">-AC31*Inputs!$B$169</f>
        <v>-3.32012319592275</v>
      </c>
      <c r="AD40" s="34" t="n">
        <f aca="false">-AD31*Inputs!$B$169</f>
        <v>-3.39349791855265</v>
      </c>
      <c r="AE40" s="34" t="n">
        <f aca="false">-AE31*Inputs!$B$169</f>
        <v>-3.46849422255266</v>
      </c>
      <c r="AF40" s="34" t="n">
        <f aca="false">-AF31*Inputs!$B$169</f>
        <v>-3.54514794487107</v>
      </c>
      <c r="AG40" s="34" t="n">
        <f aca="false">-AG31*Inputs!$B$169</f>
        <v>-3.62349571445272</v>
      </c>
      <c r="AH40" s="34" t="n">
        <f aca="false">-AH31*Inputs!$B$169</f>
        <v>-3.70357496974213</v>
      </c>
      <c r="AI40" s="34" t="n">
        <f aca="false">-AI31*Inputs!$B$169</f>
        <v>-3.78542397657343</v>
      </c>
      <c r="AJ40" s="34" t="n">
        <f aca="false">-AJ31*Inputs!$B$169</f>
        <v>-3.8690818464557</v>
      </c>
      <c r="AK40" s="34" t="n">
        <f aca="false">-AK31*Inputs!$B$169</f>
        <v>-3.95458855526238</v>
      </c>
      <c r="AL40" s="34" t="n">
        <f aca="false">-AL31*Inputs!$B$169</f>
        <v>-4.04198496233367</v>
      </c>
      <c r="AM40" s="34" t="n">
        <f aca="false">-AM31*Inputs!$B$169</f>
        <v>-4.13131283000125</v>
      </c>
      <c r="AN40" s="34" t="n">
        <f aca="false">-AN31*Inputs!$B$169</f>
        <v>-4.22261484354427</v>
      </c>
      <c r="AO40" s="34" t="n">
        <f aca="false">-AO31*Inputs!$B$169</f>
        <v>-4.3159346315866</v>
      </c>
      <c r="AP40" s="34" t="n">
        <f aca="false">-AP31*Inputs!$B$169</f>
        <v>-4.41131678694467</v>
      </c>
      <c r="AQ40" s="34" t="n">
        <f aca="false">-AQ31*Inputs!$B$169</f>
        <v>-4.50880688793614</v>
      </c>
      <c r="AR40" s="34" t="n">
        <f aca="false">-AR31*Inputs!$B$169</f>
        <v>-4.60845152015953</v>
      </c>
      <c r="AS40" s="34" t="n">
        <f aca="false">-AS31*Inputs!$B$169</f>
        <v>-4.71029829875506</v>
      </c>
      <c r="AT40" s="34" t="n">
        <f aca="false">-AT31*Inputs!$B$169</f>
        <v>-4.81439589115755</v>
      </c>
      <c r="AU40" s="34" t="n">
        <f aca="false">-AU31*Inputs!$B$169</f>
        <v>-4.92079404035213</v>
      </c>
      <c r="AV40" s="34" t="n">
        <f aca="false">-AV31*Inputs!$B$169</f>
        <v>-5.02954358864391</v>
      </c>
      <c r="AW40" s="34" t="n">
        <f aca="false">-AW31*Inputs!$B$169</f>
        <v>-5.14069650195294</v>
      </c>
      <c r="AX40" s="34" t="n">
        <f aca="false">-AX31*Inputs!$B$169</f>
        <v>-5.2543058946461</v>
      </c>
      <c r="AY40" s="34" t="n">
        <f aca="false">-AY31*Inputs!$B$169</f>
        <v>-5.37042605491778</v>
      </c>
      <c r="AZ40" s="34" t="n">
        <f aca="false">-AZ31*Inputs!$B$169</f>
        <v>-5.48911247073146</v>
      </c>
    </row>
    <row r="41" customFormat="false" ht="15" hidden="false" customHeight="false" outlineLevel="0" collapsed="false">
      <c r="A41" s="33" t="s">
        <v>149</v>
      </c>
      <c r="C41" s="34" t="n">
        <f aca="false">SUM(D41:AZ41)</f>
        <v>0</v>
      </c>
      <c r="D41" s="34" t="n">
        <f aca="false">-Inputs!$B$167*MAX(0,MIN(1,2026+1-Inputs!$B$168))*(Inputs!$B$20/MAX(0.0001,Inputs!$B$20+Inputs!$B$21+Inputs!$B$22))</f>
        <v>-0</v>
      </c>
      <c r="E41" s="34" t="n">
        <f aca="false">-Inputs!$B$167*MAX(0,MIN(1,2027+1-Inputs!$B$168))*(Inputs!$B$20/MAX(0.0001,Inputs!$B$20+Inputs!$B$21+Inputs!$B$22))</f>
        <v>-0</v>
      </c>
      <c r="F41" s="34" t="n">
        <f aca="false">-Inputs!$B$167*MAX(0,MIN(1,2028+1-Inputs!$B$168))*(Inputs!$B$20/MAX(0.0001,Inputs!$B$20+Inputs!$B$21+Inputs!$B$22))</f>
        <v>-0</v>
      </c>
      <c r="G41" s="34" t="n">
        <f aca="false">-Inputs!$B$167*MAX(0,MIN(1,2029+1-Inputs!$B$168))*(Inputs!$B$20/MAX(0.0001,Inputs!$B$20+Inputs!$B$21+Inputs!$B$22))</f>
        <v>-0</v>
      </c>
      <c r="H41" s="34" t="n">
        <f aca="false">-Inputs!$B$167*MAX(0,MIN(1,2030+1-Inputs!$B$168))*(Inputs!$B$20/MAX(0.0001,Inputs!$B$20+Inputs!$B$21+Inputs!$B$22))</f>
        <v>-0</v>
      </c>
      <c r="I41" s="34" t="n">
        <f aca="false">-Inputs!$B$167*MAX(0,MIN(1,2031+1-Inputs!$B$168))*(Inputs!$B$20/MAX(0.0001,Inputs!$B$20+Inputs!$B$21+Inputs!$B$22))</f>
        <v>-0</v>
      </c>
      <c r="J41" s="34" t="n">
        <f aca="false">-Inputs!$B$167*MAX(0,MIN(1,2032+1-Inputs!$B$168))*(Inputs!$B$20/MAX(0.0001,Inputs!$B$20+Inputs!$B$21+Inputs!$B$22))</f>
        <v>-0</v>
      </c>
      <c r="K41" s="34" t="n">
        <f aca="false">-Inputs!$B$167*MAX(0,MIN(1,2033+1-Inputs!$B$168))*(Inputs!$B$20/MAX(0.0001,Inputs!$B$20+Inputs!$B$21+Inputs!$B$22))</f>
        <v>-0</v>
      </c>
      <c r="L41" s="34" t="n">
        <f aca="false">-Inputs!$B$167*MAX(0,MIN(1,2034+1-Inputs!$B$168))*(Inputs!$B$20/MAX(0.0001,Inputs!$B$20+Inputs!$B$21+Inputs!$B$22))</f>
        <v>-0</v>
      </c>
      <c r="M41" s="34" t="n">
        <f aca="false">-Inputs!$B$167*MAX(0,MIN(1,2035+1-Inputs!$B$168))*(Inputs!$B$20/MAX(0.0001,Inputs!$B$20+Inputs!$B$21+Inputs!$B$22))</f>
        <v>-0</v>
      </c>
      <c r="N41" s="34" t="n">
        <f aca="false">-Inputs!$B$167*MAX(0,MIN(1,2036+1-Inputs!$B$168))*(Inputs!$B$20/MAX(0.0001,Inputs!$B$20+Inputs!$B$21+Inputs!$B$22))</f>
        <v>-0</v>
      </c>
      <c r="O41" s="34" t="n">
        <f aca="false">-Inputs!$B$167*MAX(0,MIN(1,2037+1-Inputs!$B$168))*(Inputs!$B$20/MAX(0.0001,Inputs!$B$20+Inputs!$B$21+Inputs!$B$22))</f>
        <v>-0</v>
      </c>
      <c r="P41" s="34" t="n">
        <f aca="false">-Inputs!$B$167*MAX(0,MIN(1,2038+1-Inputs!$B$168))*(Inputs!$B$20/MAX(0.0001,Inputs!$B$20+Inputs!$B$21+Inputs!$B$22))</f>
        <v>-0</v>
      </c>
      <c r="Q41" s="34" t="n">
        <f aca="false">-Inputs!$B$167*MAX(0,MIN(1,2039+1-Inputs!$B$168))*(Inputs!$B$20/MAX(0.0001,Inputs!$B$20+Inputs!$B$21+Inputs!$B$22))</f>
        <v>-0</v>
      </c>
      <c r="R41" s="34" t="n">
        <f aca="false">-Inputs!$B$167*MAX(0,MIN(1,2040+1-Inputs!$B$168))*(Inputs!$B$20/MAX(0.0001,Inputs!$B$20+Inputs!$B$21+Inputs!$B$22))</f>
        <v>-0</v>
      </c>
      <c r="S41" s="34" t="n">
        <f aca="false">-Inputs!$B$167*MAX(0,MIN(1,2041+1-Inputs!$B$168))*(Inputs!$B$20/MAX(0.0001,Inputs!$B$20+Inputs!$B$21+Inputs!$B$22))</f>
        <v>-0</v>
      </c>
      <c r="T41" s="34" t="n">
        <f aca="false">-Inputs!$B$167*MAX(0,MIN(1,2042+1-Inputs!$B$168))*(Inputs!$B$20/MAX(0.0001,Inputs!$B$20+Inputs!$B$21+Inputs!$B$22))</f>
        <v>-0</v>
      </c>
      <c r="U41" s="34" t="n">
        <f aca="false">-Inputs!$B$167*MAX(0,MIN(1,2043+1-Inputs!$B$168))*(Inputs!$B$20/MAX(0.0001,Inputs!$B$20+Inputs!$B$21+Inputs!$B$22))</f>
        <v>-0</v>
      </c>
      <c r="V41" s="34" t="n">
        <f aca="false">-Inputs!$B$167*MAX(0,MIN(1,2044+1-Inputs!$B$168))*(Inputs!$B$20/MAX(0.0001,Inputs!$B$20+Inputs!$B$21+Inputs!$B$22))</f>
        <v>-0</v>
      </c>
      <c r="W41" s="34" t="n">
        <f aca="false">-Inputs!$B$167*MAX(0,MIN(1,2045+1-Inputs!$B$168))*(Inputs!$B$20/MAX(0.0001,Inputs!$B$20+Inputs!$B$21+Inputs!$B$22))</f>
        <v>-0</v>
      </c>
      <c r="X41" s="34" t="n">
        <f aca="false">-Inputs!$B$167*MAX(0,MIN(1,2046+1-Inputs!$B$168))*(Inputs!$B$20/MAX(0.0001,Inputs!$B$20+Inputs!$B$21+Inputs!$B$22))</f>
        <v>-0</v>
      </c>
      <c r="Y41" s="34" t="n">
        <f aca="false">-Inputs!$B$167*MAX(0,MIN(1,2047+1-Inputs!$B$168))*(Inputs!$B$20/MAX(0.0001,Inputs!$B$20+Inputs!$B$21+Inputs!$B$22))</f>
        <v>-0</v>
      </c>
      <c r="Z41" s="34" t="n">
        <f aca="false">-Inputs!$B$167*MAX(0,MIN(1,2048+1-Inputs!$B$168))*(Inputs!$B$20/MAX(0.0001,Inputs!$B$20+Inputs!$B$21+Inputs!$B$22))</f>
        <v>-0</v>
      </c>
      <c r="AA41" s="34" t="n">
        <f aca="false">-Inputs!$B$167*MAX(0,MIN(1,2049+1-Inputs!$B$168))*(Inputs!$B$20/MAX(0.0001,Inputs!$B$20+Inputs!$B$21+Inputs!$B$22))</f>
        <v>-0</v>
      </c>
      <c r="AB41" s="34" t="n">
        <f aca="false">-Inputs!$B$167*MAX(0,MIN(1,2050+1-Inputs!$B$168))*(Inputs!$B$20/MAX(0.0001,Inputs!$B$20+Inputs!$B$21+Inputs!$B$22))</f>
        <v>-0</v>
      </c>
      <c r="AC41" s="34" t="n">
        <f aca="false">-Inputs!$B$167*MAX(0,MIN(1,2051+1-Inputs!$B$168))*(Inputs!$B$20/MAX(0.0001,Inputs!$B$20+Inputs!$B$21+Inputs!$B$22))</f>
        <v>-0</v>
      </c>
      <c r="AD41" s="34" t="n">
        <f aca="false">-Inputs!$B$167*MAX(0,MIN(1,2052+1-Inputs!$B$168))*(Inputs!$B$20/MAX(0.0001,Inputs!$B$20+Inputs!$B$21+Inputs!$B$22))</f>
        <v>-0</v>
      </c>
      <c r="AE41" s="34" t="n">
        <f aca="false">-Inputs!$B$167*MAX(0,MIN(1,2053+1-Inputs!$B$168))*(Inputs!$B$20/MAX(0.0001,Inputs!$B$20+Inputs!$B$21+Inputs!$B$22))</f>
        <v>-0</v>
      </c>
      <c r="AF41" s="34" t="n">
        <f aca="false">-Inputs!$B$167*MAX(0,MIN(1,2054+1-Inputs!$B$168))*(Inputs!$B$20/MAX(0.0001,Inputs!$B$20+Inputs!$B$21+Inputs!$B$22))</f>
        <v>-0</v>
      </c>
      <c r="AG41" s="34" t="n">
        <f aca="false">-Inputs!$B$167*MAX(0,MIN(1,2055+1-Inputs!$B$168))*(Inputs!$B$20/MAX(0.0001,Inputs!$B$20+Inputs!$B$21+Inputs!$B$22))</f>
        <v>-0</v>
      </c>
      <c r="AH41" s="34" t="n">
        <f aca="false">-Inputs!$B$167*MAX(0,MIN(1,2056+1-Inputs!$B$168))*(Inputs!$B$20/MAX(0.0001,Inputs!$B$20+Inputs!$B$21+Inputs!$B$22))</f>
        <v>-0</v>
      </c>
      <c r="AI41" s="34" t="n">
        <f aca="false">-Inputs!$B$167*MAX(0,MIN(1,2057+1-Inputs!$B$168))*(Inputs!$B$20/MAX(0.0001,Inputs!$B$20+Inputs!$B$21+Inputs!$B$22))</f>
        <v>-0</v>
      </c>
      <c r="AJ41" s="34" t="n">
        <f aca="false">-Inputs!$B$167*MAX(0,MIN(1,2058+1-Inputs!$B$168))*(Inputs!$B$20/MAX(0.0001,Inputs!$B$20+Inputs!$B$21+Inputs!$B$22))</f>
        <v>-0</v>
      </c>
      <c r="AK41" s="34" t="n">
        <f aca="false">-Inputs!$B$167*MAX(0,MIN(1,2059+1-Inputs!$B$168))*(Inputs!$B$20/MAX(0.0001,Inputs!$B$20+Inputs!$B$21+Inputs!$B$22))</f>
        <v>-0</v>
      </c>
      <c r="AL41" s="34" t="n">
        <f aca="false">-Inputs!$B$167*MAX(0,MIN(1,2060+1-Inputs!$B$168))*(Inputs!$B$20/MAX(0.0001,Inputs!$B$20+Inputs!$B$21+Inputs!$B$22))</f>
        <v>-0</v>
      </c>
      <c r="AM41" s="34" t="n">
        <f aca="false">-Inputs!$B$167*MAX(0,MIN(1,2061+1-Inputs!$B$168))*(Inputs!$B$20/MAX(0.0001,Inputs!$B$20+Inputs!$B$21+Inputs!$B$22))</f>
        <v>-0</v>
      </c>
      <c r="AN41" s="34" t="n">
        <f aca="false">-Inputs!$B$167*MAX(0,MIN(1,2062+1-Inputs!$B$168))*(Inputs!$B$20/MAX(0.0001,Inputs!$B$20+Inputs!$B$21+Inputs!$B$22))</f>
        <v>-0</v>
      </c>
      <c r="AO41" s="34" t="n">
        <f aca="false">-Inputs!$B$167*MAX(0,MIN(1,2063+1-Inputs!$B$168))*(Inputs!$B$20/MAX(0.0001,Inputs!$B$20+Inputs!$B$21+Inputs!$B$22))</f>
        <v>-0</v>
      </c>
      <c r="AP41" s="34" t="n">
        <f aca="false">-Inputs!$B$167*MAX(0,MIN(1,2064+1-Inputs!$B$168))*(Inputs!$B$20/MAX(0.0001,Inputs!$B$20+Inputs!$B$21+Inputs!$B$22))</f>
        <v>-0</v>
      </c>
      <c r="AQ41" s="34" t="n">
        <f aca="false">-Inputs!$B$167*MAX(0,MIN(1,2065+1-Inputs!$B$168))*(Inputs!$B$20/MAX(0.0001,Inputs!$B$20+Inputs!$B$21+Inputs!$B$22))</f>
        <v>-0</v>
      </c>
      <c r="AR41" s="34" t="n">
        <f aca="false">-Inputs!$B$167*MAX(0,MIN(1,2066+1-Inputs!$B$168))*(Inputs!$B$20/MAX(0.0001,Inputs!$B$20+Inputs!$B$21+Inputs!$B$22))</f>
        <v>-0</v>
      </c>
      <c r="AS41" s="34" t="n">
        <f aca="false">-Inputs!$B$167*MAX(0,MIN(1,2067+1-Inputs!$B$168))*(Inputs!$B$20/MAX(0.0001,Inputs!$B$20+Inputs!$B$21+Inputs!$B$22))</f>
        <v>-0</v>
      </c>
      <c r="AT41" s="34" t="n">
        <f aca="false">-Inputs!$B$167*MAX(0,MIN(1,2068+1-Inputs!$B$168))*(Inputs!$B$20/MAX(0.0001,Inputs!$B$20+Inputs!$B$21+Inputs!$B$22))</f>
        <v>-0</v>
      </c>
      <c r="AU41" s="34" t="n">
        <f aca="false">-Inputs!$B$167*MAX(0,MIN(1,2069+1-Inputs!$B$168))*(Inputs!$B$20/MAX(0.0001,Inputs!$B$20+Inputs!$B$21+Inputs!$B$22))</f>
        <v>-0</v>
      </c>
      <c r="AV41" s="34" t="n">
        <f aca="false">-Inputs!$B$167*MAX(0,MIN(1,2070+1-Inputs!$B$168))*(Inputs!$B$20/MAX(0.0001,Inputs!$B$20+Inputs!$B$21+Inputs!$B$22))</f>
        <v>-0</v>
      </c>
      <c r="AW41" s="34" t="n">
        <f aca="false">-Inputs!$B$167*MAX(0,MIN(1,2071+1-Inputs!$B$168))*(Inputs!$B$20/MAX(0.0001,Inputs!$B$20+Inputs!$B$21+Inputs!$B$22))</f>
        <v>-0</v>
      </c>
      <c r="AX41" s="34" t="n">
        <f aca="false">-Inputs!$B$167*MAX(0,MIN(1,2072+1-Inputs!$B$168))*(Inputs!$B$20/MAX(0.0001,Inputs!$B$20+Inputs!$B$21+Inputs!$B$22))</f>
        <v>-0</v>
      </c>
      <c r="AY41" s="34" t="n">
        <f aca="false">-Inputs!$B$167*MAX(0,MIN(1,2073+1-Inputs!$B$168))*(Inputs!$B$20/MAX(0.0001,Inputs!$B$20+Inputs!$B$21+Inputs!$B$22))</f>
        <v>-0</v>
      </c>
      <c r="AZ41" s="34" t="n">
        <f aca="false">-Inputs!$B$167*MAX(0,MIN(1,2074+1-Inputs!$B$168))*(Inputs!$B$20/MAX(0.0001,Inputs!$B$20+Inputs!$B$21+Inputs!$B$22))</f>
        <v>-0</v>
      </c>
    </row>
    <row r="42" customFormat="false" ht="15" hidden="false" customHeight="false" outlineLevel="0" collapsed="false">
      <c r="A42" s="33" t="s">
        <v>150</v>
      </c>
      <c r="C42" s="34" t="n">
        <f aca="false">SUM(D42:AZ42)</f>
        <v>0</v>
      </c>
      <c r="D42" s="34" t="n">
        <f aca="false">-(Inputs!$B$163+Inputs!$B$164)*IF(2026&lt;2028+Inputs!$B$9,0,IF(2026=2028+Inputs!$B$9,Inputs!$B$165,1))*(1+Inputs!$B$166)^(2026-2028-Inputs!$B$9)*(Inputs!$B$20/MAX(0.0001,Inputs!$B$20+Inputs!$B$21+Inputs!$B$22))</f>
        <v>-0</v>
      </c>
      <c r="E42" s="34" t="n">
        <f aca="false">-(Inputs!$B$163+Inputs!$B$164)*IF(2027&lt;2028+Inputs!$B$9,0,IF(2027=2028+Inputs!$B$9,Inputs!$B$165,1))*(1+Inputs!$B$166)^(2027-2028-Inputs!$B$9)*(Inputs!$B$20/MAX(0.0001,Inputs!$B$20+Inputs!$B$21+Inputs!$B$22))</f>
        <v>-0</v>
      </c>
      <c r="F42" s="34" t="n">
        <f aca="false">-(Inputs!$B$163+Inputs!$B$164)*IF(2028&lt;2028+Inputs!$B$9,0,IF(2028=2028+Inputs!$B$9,Inputs!$B$165,1))*(1+Inputs!$B$166)^(2028-2028-Inputs!$B$9)*(Inputs!$B$20/MAX(0.0001,Inputs!$B$20+Inputs!$B$21+Inputs!$B$22))</f>
        <v>-0</v>
      </c>
      <c r="G42" s="34" t="n">
        <f aca="false">-(Inputs!$B$163+Inputs!$B$164)*IF(2029&lt;2028+Inputs!$B$9,0,IF(2029=2028+Inputs!$B$9,Inputs!$B$165,1))*(1+Inputs!$B$166)^(2029-2028-Inputs!$B$9)*(Inputs!$B$20/MAX(0.0001,Inputs!$B$20+Inputs!$B$21+Inputs!$B$22))</f>
        <v>-0</v>
      </c>
      <c r="H42" s="34" t="n">
        <f aca="false">-(Inputs!$B$163+Inputs!$B$164)*IF(2030&lt;2028+Inputs!$B$9,0,IF(2030=2028+Inputs!$B$9,Inputs!$B$165,1))*(1+Inputs!$B$166)^(2030-2028-Inputs!$B$9)*(Inputs!$B$20/MAX(0.0001,Inputs!$B$20+Inputs!$B$21+Inputs!$B$22))</f>
        <v>-0</v>
      </c>
      <c r="I42" s="34" t="n">
        <f aca="false">-(Inputs!$B$163+Inputs!$B$164)*IF(2031&lt;2028+Inputs!$B$9,0,IF(2031=2028+Inputs!$B$9,Inputs!$B$165,1))*(1+Inputs!$B$166)^(2031-2028-Inputs!$B$9)*(Inputs!$B$20/MAX(0.0001,Inputs!$B$20+Inputs!$B$21+Inputs!$B$22))</f>
        <v>-0</v>
      </c>
      <c r="J42" s="34" t="n">
        <f aca="false">-(Inputs!$B$163+Inputs!$B$164)*IF(2032&lt;2028+Inputs!$B$9,0,IF(2032=2028+Inputs!$B$9,Inputs!$B$165,1))*(1+Inputs!$B$166)^(2032-2028-Inputs!$B$9)*(Inputs!$B$20/MAX(0.0001,Inputs!$B$20+Inputs!$B$21+Inputs!$B$22))</f>
        <v>-0</v>
      </c>
      <c r="K42" s="34" t="n">
        <f aca="false">-(Inputs!$B$163+Inputs!$B$164)*IF(2033&lt;2028+Inputs!$B$9,0,IF(2033=2028+Inputs!$B$9,Inputs!$B$165,1))*(1+Inputs!$B$166)^(2033-2028-Inputs!$B$9)*(Inputs!$B$20/MAX(0.0001,Inputs!$B$20+Inputs!$B$21+Inputs!$B$22))</f>
        <v>-0</v>
      </c>
      <c r="L42" s="34" t="n">
        <f aca="false">-(Inputs!$B$163+Inputs!$B$164)*IF(2034&lt;2028+Inputs!$B$9,0,IF(2034=2028+Inputs!$B$9,Inputs!$B$165,1))*(1+Inputs!$B$166)^(2034-2028-Inputs!$B$9)*(Inputs!$B$20/MAX(0.0001,Inputs!$B$20+Inputs!$B$21+Inputs!$B$22))</f>
        <v>-0</v>
      </c>
      <c r="M42" s="34" t="n">
        <f aca="false">-(Inputs!$B$163+Inputs!$B$164)*IF(2035&lt;2028+Inputs!$B$9,0,IF(2035=2028+Inputs!$B$9,Inputs!$B$165,1))*(1+Inputs!$B$166)^(2035-2028-Inputs!$B$9)*(Inputs!$B$20/MAX(0.0001,Inputs!$B$20+Inputs!$B$21+Inputs!$B$22))</f>
        <v>-0</v>
      </c>
      <c r="N42" s="34" t="n">
        <f aca="false">-(Inputs!$B$163+Inputs!$B$164)*IF(2036&lt;2028+Inputs!$B$9,0,IF(2036=2028+Inputs!$B$9,Inputs!$B$165,1))*(1+Inputs!$B$166)^(2036-2028-Inputs!$B$9)*(Inputs!$B$20/MAX(0.0001,Inputs!$B$20+Inputs!$B$21+Inputs!$B$22))</f>
        <v>-0</v>
      </c>
      <c r="O42" s="34" t="n">
        <f aca="false">-(Inputs!$B$163+Inputs!$B$164)*IF(2037&lt;2028+Inputs!$B$9,0,IF(2037=2028+Inputs!$B$9,Inputs!$B$165,1))*(1+Inputs!$B$166)^(2037-2028-Inputs!$B$9)*(Inputs!$B$20/MAX(0.0001,Inputs!$B$20+Inputs!$B$21+Inputs!$B$22))</f>
        <v>-0</v>
      </c>
      <c r="P42" s="34" t="n">
        <f aca="false">-(Inputs!$B$163+Inputs!$B$164)*IF(2038&lt;2028+Inputs!$B$9,0,IF(2038=2028+Inputs!$B$9,Inputs!$B$165,1))*(1+Inputs!$B$166)^(2038-2028-Inputs!$B$9)*(Inputs!$B$20/MAX(0.0001,Inputs!$B$20+Inputs!$B$21+Inputs!$B$22))</f>
        <v>-0</v>
      </c>
      <c r="Q42" s="34" t="n">
        <f aca="false">-(Inputs!$B$163+Inputs!$B$164)*IF(2039&lt;2028+Inputs!$B$9,0,IF(2039=2028+Inputs!$B$9,Inputs!$B$165,1))*(1+Inputs!$B$166)^(2039-2028-Inputs!$B$9)*(Inputs!$B$20/MAX(0.0001,Inputs!$B$20+Inputs!$B$21+Inputs!$B$22))</f>
        <v>-0</v>
      </c>
      <c r="R42" s="34" t="n">
        <f aca="false">-(Inputs!$B$163+Inputs!$B$164)*IF(2040&lt;2028+Inputs!$B$9,0,IF(2040=2028+Inputs!$B$9,Inputs!$B$165,1))*(1+Inputs!$B$166)^(2040-2028-Inputs!$B$9)*(Inputs!$B$20/MAX(0.0001,Inputs!$B$20+Inputs!$B$21+Inputs!$B$22))</f>
        <v>-0</v>
      </c>
      <c r="S42" s="34" t="n">
        <f aca="false">-(Inputs!$B$163+Inputs!$B$164)*IF(2041&lt;2028+Inputs!$B$9,0,IF(2041=2028+Inputs!$B$9,Inputs!$B$165,1))*(1+Inputs!$B$166)^(2041-2028-Inputs!$B$9)*(Inputs!$B$20/MAX(0.0001,Inputs!$B$20+Inputs!$B$21+Inputs!$B$22))</f>
        <v>-0</v>
      </c>
      <c r="T42" s="34" t="n">
        <f aca="false">-(Inputs!$B$163+Inputs!$B$164)*IF(2042&lt;2028+Inputs!$B$9,0,IF(2042=2028+Inputs!$B$9,Inputs!$B$165,1))*(1+Inputs!$B$166)^(2042-2028-Inputs!$B$9)*(Inputs!$B$20/MAX(0.0001,Inputs!$B$20+Inputs!$B$21+Inputs!$B$22))</f>
        <v>-0</v>
      </c>
      <c r="U42" s="34" t="n">
        <f aca="false">-(Inputs!$B$163+Inputs!$B$164)*IF(2043&lt;2028+Inputs!$B$9,0,IF(2043=2028+Inputs!$B$9,Inputs!$B$165,1))*(1+Inputs!$B$166)^(2043-2028-Inputs!$B$9)*(Inputs!$B$20/MAX(0.0001,Inputs!$B$20+Inputs!$B$21+Inputs!$B$22))</f>
        <v>-0</v>
      </c>
      <c r="V42" s="34" t="n">
        <f aca="false">-(Inputs!$B$163+Inputs!$B$164)*IF(2044&lt;2028+Inputs!$B$9,0,IF(2044=2028+Inputs!$B$9,Inputs!$B$165,1))*(1+Inputs!$B$166)^(2044-2028-Inputs!$B$9)*(Inputs!$B$20/MAX(0.0001,Inputs!$B$20+Inputs!$B$21+Inputs!$B$22))</f>
        <v>-0</v>
      </c>
      <c r="W42" s="34" t="n">
        <f aca="false">-(Inputs!$B$163+Inputs!$B$164)*IF(2045&lt;2028+Inputs!$B$9,0,IF(2045=2028+Inputs!$B$9,Inputs!$B$165,1))*(1+Inputs!$B$166)^(2045-2028-Inputs!$B$9)*(Inputs!$B$20/MAX(0.0001,Inputs!$B$20+Inputs!$B$21+Inputs!$B$22))</f>
        <v>-0</v>
      </c>
      <c r="X42" s="34" t="n">
        <f aca="false">-(Inputs!$B$163+Inputs!$B$164)*IF(2046&lt;2028+Inputs!$B$9,0,IF(2046=2028+Inputs!$B$9,Inputs!$B$165,1))*(1+Inputs!$B$166)^(2046-2028-Inputs!$B$9)*(Inputs!$B$20/MAX(0.0001,Inputs!$B$20+Inputs!$B$21+Inputs!$B$22))</f>
        <v>-0</v>
      </c>
      <c r="Y42" s="34" t="n">
        <f aca="false">-(Inputs!$B$163+Inputs!$B$164)*IF(2047&lt;2028+Inputs!$B$9,0,IF(2047=2028+Inputs!$B$9,Inputs!$B$165,1))*(1+Inputs!$B$166)^(2047-2028-Inputs!$B$9)*(Inputs!$B$20/MAX(0.0001,Inputs!$B$20+Inputs!$B$21+Inputs!$B$22))</f>
        <v>-0</v>
      </c>
      <c r="Z42" s="34" t="n">
        <f aca="false">-(Inputs!$B$163+Inputs!$B$164)*IF(2048&lt;2028+Inputs!$B$9,0,IF(2048=2028+Inputs!$B$9,Inputs!$B$165,1))*(1+Inputs!$B$166)^(2048-2028-Inputs!$B$9)*(Inputs!$B$20/MAX(0.0001,Inputs!$B$20+Inputs!$B$21+Inputs!$B$22))</f>
        <v>-0</v>
      </c>
      <c r="AA42" s="34" t="n">
        <f aca="false">-(Inputs!$B$163+Inputs!$B$164)*IF(2049&lt;2028+Inputs!$B$9,0,IF(2049=2028+Inputs!$B$9,Inputs!$B$165,1))*(1+Inputs!$B$166)^(2049-2028-Inputs!$B$9)*(Inputs!$B$20/MAX(0.0001,Inputs!$B$20+Inputs!$B$21+Inputs!$B$22))</f>
        <v>-0</v>
      </c>
      <c r="AB42" s="34" t="n">
        <f aca="false">-(Inputs!$B$163+Inputs!$B$164)*IF(2050&lt;2028+Inputs!$B$9,0,IF(2050=2028+Inputs!$B$9,Inputs!$B$165,1))*(1+Inputs!$B$166)^(2050-2028-Inputs!$B$9)*(Inputs!$B$20/MAX(0.0001,Inputs!$B$20+Inputs!$B$21+Inputs!$B$22))</f>
        <v>-0</v>
      </c>
      <c r="AC42" s="34" t="n">
        <f aca="false">-(Inputs!$B$163+Inputs!$B$164)*IF(2051&lt;2028+Inputs!$B$9,0,IF(2051=2028+Inputs!$B$9,Inputs!$B$165,1))*(1+Inputs!$B$166)^(2051-2028-Inputs!$B$9)*(Inputs!$B$20/MAX(0.0001,Inputs!$B$20+Inputs!$B$21+Inputs!$B$22))</f>
        <v>-0</v>
      </c>
      <c r="AD42" s="34" t="n">
        <f aca="false">-(Inputs!$B$163+Inputs!$B$164)*IF(2052&lt;2028+Inputs!$B$9,0,IF(2052=2028+Inputs!$B$9,Inputs!$B$165,1))*(1+Inputs!$B$166)^(2052-2028-Inputs!$B$9)*(Inputs!$B$20/MAX(0.0001,Inputs!$B$20+Inputs!$B$21+Inputs!$B$22))</f>
        <v>-0</v>
      </c>
      <c r="AE42" s="34" t="n">
        <f aca="false">-(Inputs!$B$163+Inputs!$B$164)*IF(2053&lt;2028+Inputs!$B$9,0,IF(2053=2028+Inputs!$B$9,Inputs!$B$165,1))*(1+Inputs!$B$166)^(2053-2028-Inputs!$B$9)*(Inputs!$B$20/MAX(0.0001,Inputs!$B$20+Inputs!$B$21+Inputs!$B$22))</f>
        <v>-0</v>
      </c>
      <c r="AF42" s="34" t="n">
        <f aca="false">-(Inputs!$B$163+Inputs!$B$164)*IF(2054&lt;2028+Inputs!$B$9,0,IF(2054=2028+Inputs!$B$9,Inputs!$B$165,1))*(1+Inputs!$B$166)^(2054-2028-Inputs!$B$9)*(Inputs!$B$20/MAX(0.0001,Inputs!$B$20+Inputs!$B$21+Inputs!$B$22))</f>
        <v>-0</v>
      </c>
      <c r="AG42" s="34" t="n">
        <f aca="false">-(Inputs!$B$163+Inputs!$B$164)*IF(2055&lt;2028+Inputs!$B$9,0,IF(2055=2028+Inputs!$B$9,Inputs!$B$165,1))*(1+Inputs!$B$166)^(2055-2028-Inputs!$B$9)*(Inputs!$B$20/MAX(0.0001,Inputs!$B$20+Inputs!$B$21+Inputs!$B$22))</f>
        <v>-0</v>
      </c>
      <c r="AH42" s="34" t="n">
        <f aca="false">-(Inputs!$B$163+Inputs!$B$164)*IF(2056&lt;2028+Inputs!$B$9,0,IF(2056=2028+Inputs!$B$9,Inputs!$B$165,1))*(1+Inputs!$B$166)^(2056-2028-Inputs!$B$9)*(Inputs!$B$20/MAX(0.0001,Inputs!$B$20+Inputs!$B$21+Inputs!$B$22))</f>
        <v>-0</v>
      </c>
      <c r="AI42" s="34" t="n">
        <f aca="false">-(Inputs!$B$163+Inputs!$B$164)*IF(2057&lt;2028+Inputs!$B$9,0,IF(2057=2028+Inputs!$B$9,Inputs!$B$165,1))*(1+Inputs!$B$166)^(2057-2028-Inputs!$B$9)*(Inputs!$B$20/MAX(0.0001,Inputs!$B$20+Inputs!$B$21+Inputs!$B$22))</f>
        <v>-0</v>
      </c>
      <c r="AJ42" s="34" t="n">
        <f aca="false">-(Inputs!$B$163+Inputs!$B$164)*IF(2058&lt;2028+Inputs!$B$9,0,IF(2058=2028+Inputs!$B$9,Inputs!$B$165,1))*(1+Inputs!$B$166)^(2058-2028-Inputs!$B$9)*(Inputs!$B$20/MAX(0.0001,Inputs!$B$20+Inputs!$B$21+Inputs!$B$22))</f>
        <v>-0</v>
      </c>
      <c r="AK42" s="34" t="n">
        <f aca="false">-(Inputs!$B$163+Inputs!$B$164)*IF(2059&lt;2028+Inputs!$B$9,0,IF(2059=2028+Inputs!$B$9,Inputs!$B$165,1))*(1+Inputs!$B$166)^(2059-2028-Inputs!$B$9)*(Inputs!$B$20/MAX(0.0001,Inputs!$B$20+Inputs!$B$21+Inputs!$B$22))</f>
        <v>-0</v>
      </c>
      <c r="AL42" s="34" t="n">
        <f aca="false">-(Inputs!$B$163+Inputs!$B$164)*IF(2060&lt;2028+Inputs!$B$9,0,IF(2060=2028+Inputs!$B$9,Inputs!$B$165,1))*(1+Inputs!$B$166)^(2060-2028-Inputs!$B$9)*(Inputs!$B$20/MAX(0.0001,Inputs!$B$20+Inputs!$B$21+Inputs!$B$22))</f>
        <v>-0</v>
      </c>
      <c r="AM42" s="34" t="n">
        <f aca="false">-(Inputs!$B$163+Inputs!$B$164)*IF(2061&lt;2028+Inputs!$B$9,0,IF(2061=2028+Inputs!$B$9,Inputs!$B$165,1))*(1+Inputs!$B$166)^(2061-2028-Inputs!$B$9)*(Inputs!$B$20/MAX(0.0001,Inputs!$B$20+Inputs!$B$21+Inputs!$B$22))</f>
        <v>-0</v>
      </c>
      <c r="AN42" s="34" t="n">
        <f aca="false">-(Inputs!$B$163+Inputs!$B$164)*IF(2062&lt;2028+Inputs!$B$9,0,IF(2062=2028+Inputs!$B$9,Inputs!$B$165,1))*(1+Inputs!$B$166)^(2062-2028-Inputs!$B$9)*(Inputs!$B$20/MAX(0.0001,Inputs!$B$20+Inputs!$B$21+Inputs!$B$22))</f>
        <v>-0</v>
      </c>
      <c r="AO42" s="34" t="n">
        <f aca="false">-(Inputs!$B$163+Inputs!$B$164)*IF(2063&lt;2028+Inputs!$B$9,0,IF(2063=2028+Inputs!$B$9,Inputs!$B$165,1))*(1+Inputs!$B$166)^(2063-2028-Inputs!$B$9)*(Inputs!$B$20/MAX(0.0001,Inputs!$B$20+Inputs!$B$21+Inputs!$B$22))</f>
        <v>-0</v>
      </c>
      <c r="AP42" s="34" t="n">
        <f aca="false">-(Inputs!$B$163+Inputs!$B$164)*IF(2064&lt;2028+Inputs!$B$9,0,IF(2064=2028+Inputs!$B$9,Inputs!$B$165,1))*(1+Inputs!$B$166)^(2064-2028-Inputs!$B$9)*(Inputs!$B$20/MAX(0.0001,Inputs!$B$20+Inputs!$B$21+Inputs!$B$22))</f>
        <v>-0</v>
      </c>
      <c r="AQ42" s="34" t="n">
        <f aca="false">-(Inputs!$B$163+Inputs!$B$164)*IF(2065&lt;2028+Inputs!$B$9,0,IF(2065=2028+Inputs!$B$9,Inputs!$B$165,1))*(1+Inputs!$B$166)^(2065-2028-Inputs!$B$9)*(Inputs!$B$20/MAX(0.0001,Inputs!$B$20+Inputs!$B$21+Inputs!$B$22))</f>
        <v>-0</v>
      </c>
      <c r="AR42" s="34" t="n">
        <f aca="false">-(Inputs!$B$163+Inputs!$B$164)*IF(2066&lt;2028+Inputs!$B$9,0,IF(2066=2028+Inputs!$B$9,Inputs!$B$165,1))*(1+Inputs!$B$166)^(2066-2028-Inputs!$B$9)*(Inputs!$B$20/MAX(0.0001,Inputs!$B$20+Inputs!$B$21+Inputs!$B$22))</f>
        <v>-0</v>
      </c>
      <c r="AS42" s="34" t="n">
        <f aca="false">-(Inputs!$B$163+Inputs!$B$164)*IF(2067&lt;2028+Inputs!$B$9,0,IF(2067=2028+Inputs!$B$9,Inputs!$B$165,1))*(1+Inputs!$B$166)^(2067-2028-Inputs!$B$9)*(Inputs!$B$20/MAX(0.0001,Inputs!$B$20+Inputs!$B$21+Inputs!$B$22))</f>
        <v>-0</v>
      </c>
      <c r="AT42" s="34" t="n">
        <f aca="false">-(Inputs!$B$163+Inputs!$B$164)*IF(2068&lt;2028+Inputs!$B$9,0,IF(2068=2028+Inputs!$B$9,Inputs!$B$165,1))*(1+Inputs!$B$166)^(2068-2028-Inputs!$B$9)*(Inputs!$B$20/MAX(0.0001,Inputs!$B$20+Inputs!$B$21+Inputs!$B$22))</f>
        <v>-0</v>
      </c>
      <c r="AU42" s="34" t="n">
        <f aca="false">-(Inputs!$B$163+Inputs!$B$164)*IF(2069&lt;2028+Inputs!$B$9,0,IF(2069=2028+Inputs!$B$9,Inputs!$B$165,1))*(1+Inputs!$B$166)^(2069-2028-Inputs!$B$9)*(Inputs!$B$20/MAX(0.0001,Inputs!$B$20+Inputs!$B$21+Inputs!$B$22))</f>
        <v>-0</v>
      </c>
      <c r="AV42" s="34" t="n">
        <f aca="false">-(Inputs!$B$163+Inputs!$B$164)*IF(2070&lt;2028+Inputs!$B$9,0,IF(2070=2028+Inputs!$B$9,Inputs!$B$165,1))*(1+Inputs!$B$166)^(2070-2028-Inputs!$B$9)*(Inputs!$B$20/MAX(0.0001,Inputs!$B$20+Inputs!$B$21+Inputs!$B$22))</f>
        <v>-0</v>
      </c>
      <c r="AW42" s="34" t="n">
        <f aca="false">-(Inputs!$B$163+Inputs!$B$164)*IF(2071&lt;2028+Inputs!$B$9,0,IF(2071=2028+Inputs!$B$9,Inputs!$B$165,1))*(1+Inputs!$B$166)^(2071-2028-Inputs!$B$9)*(Inputs!$B$20/MAX(0.0001,Inputs!$B$20+Inputs!$B$21+Inputs!$B$22))</f>
        <v>-0</v>
      </c>
      <c r="AX42" s="34" t="n">
        <f aca="false">-(Inputs!$B$163+Inputs!$B$164)*IF(2072&lt;2028+Inputs!$B$9,0,IF(2072=2028+Inputs!$B$9,Inputs!$B$165,1))*(1+Inputs!$B$166)^(2072-2028-Inputs!$B$9)*(Inputs!$B$20/MAX(0.0001,Inputs!$B$20+Inputs!$B$21+Inputs!$B$22))</f>
        <v>-0</v>
      </c>
      <c r="AY42" s="34" t="n">
        <f aca="false">-(Inputs!$B$163+Inputs!$B$164)*IF(2073&lt;2028+Inputs!$B$9,0,IF(2073=2028+Inputs!$B$9,Inputs!$B$165,1))*(1+Inputs!$B$166)^(2073-2028-Inputs!$B$9)*(Inputs!$B$20/MAX(0.0001,Inputs!$B$20+Inputs!$B$21+Inputs!$B$22))</f>
        <v>-0</v>
      </c>
      <c r="AZ42" s="34" t="n">
        <f aca="false">-(Inputs!$B$163+Inputs!$B$164)*IF(2074&lt;2028+Inputs!$B$9,0,IF(2074=2028+Inputs!$B$9,Inputs!$B$165,1))*(1+Inputs!$B$166)^(2074-2028-Inputs!$B$9)*(Inputs!$B$20/MAX(0.0001,Inputs!$B$20+Inputs!$B$21+Inputs!$B$22))</f>
        <v>-0</v>
      </c>
    </row>
    <row r="43" customFormat="false" ht="15" hidden="false" customHeight="false" outlineLevel="0" collapsed="false">
      <c r="A43" s="3" t="s">
        <v>151</v>
      </c>
      <c r="C43" s="36" t="n">
        <f aca="false">SUM(D43:AZ43)</f>
        <v>2761.99342956221</v>
      </c>
      <c r="D43" s="36" t="n">
        <f aca="false">D36+SUM(D39:D42)</f>
        <v>0</v>
      </c>
      <c r="E43" s="36" t="n">
        <f aca="false">E36+SUM(E39:E42)</f>
        <v>0</v>
      </c>
      <c r="F43" s="36" t="n">
        <f aca="false">F36+SUM(F39:F42)</f>
        <v>0</v>
      </c>
      <c r="G43" s="36" t="n">
        <f aca="false">G36+SUM(G39:G42)</f>
        <v>14.704627293765</v>
      </c>
      <c r="H43" s="36" t="n">
        <f aca="false">H36+SUM(H39:H42)</f>
        <v>33.3658712990541</v>
      </c>
      <c r="I43" s="36" t="n">
        <f aca="false">I36+SUM(I39:I42)</f>
        <v>37.1050430275907</v>
      </c>
      <c r="J43" s="36" t="n">
        <f aca="false">J36+SUM(J39:J42)</f>
        <v>37.9250644785005</v>
      </c>
      <c r="K43" s="36" t="n">
        <f aca="false">K36+SUM(K39:K42)</f>
        <v>38.7632084034754</v>
      </c>
      <c r="L43" s="36" t="n">
        <f aca="false">L36+SUM(L39:L42)</f>
        <v>39.6198753091922</v>
      </c>
      <c r="M43" s="36" t="n">
        <f aca="false">M36+SUM(M39:M42)</f>
        <v>40.4954745535253</v>
      </c>
      <c r="N43" s="36" t="n">
        <f aca="false">N36+SUM(N39:N42)</f>
        <v>41.3904245411582</v>
      </c>
      <c r="O43" s="36" t="n">
        <f aca="false">O36+SUM(O39:O42)</f>
        <v>42.3051529235178</v>
      </c>
      <c r="P43" s="36" t="n">
        <f aca="false">P36+SUM(P39:P42)</f>
        <v>43.2400968031276</v>
      </c>
      <c r="Q43" s="36" t="n">
        <f aca="false">Q36+SUM(Q39:Q42)</f>
        <v>44.1957029424767</v>
      </c>
      <c r="R43" s="36" t="n">
        <f aca="false">R36+SUM(R39:R42)</f>
        <v>45.1724279775054</v>
      </c>
      <c r="S43" s="36" t="n">
        <f aca="false">S36+SUM(S39:S42)</f>
        <v>46.1707386358083</v>
      </c>
      <c r="T43" s="36" t="n">
        <f aca="false">T36+SUM(T39:T42)</f>
        <v>47.1911119596596</v>
      </c>
      <c r="U43" s="36" t="n">
        <f aca="false">U36+SUM(U39:U42)</f>
        <v>48.2340355339681</v>
      </c>
      <c r="V43" s="36" t="n">
        <f aca="false">V36+SUM(V39:V42)</f>
        <v>49.3000077192688</v>
      </c>
      <c r="W43" s="36" t="n">
        <f aca="false">W36+SUM(W39:W42)</f>
        <v>50.3895378898647</v>
      </c>
      <c r="X43" s="36" t="n">
        <f aca="false">X36+SUM(X39:X42)</f>
        <v>51.5031466772307</v>
      </c>
      <c r="Y43" s="36" t="n">
        <f aca="false">Y36+SUM(Y39:Y42)</f>
        <v>52.6413662187975</v>
      </c>
      <c r="Z43" s="36" t="n">
        <f aca="false">Z36+SUM(Z39:Z42)</f>
        <v>53.8047404122329</v>
      </c>
      <c r="AA43" s="36" t="n">
        <f aca="false">AA36+SUM(AA39:AA42)</f>
        <v>54.9938251753433</v>
      </c>
      <c r="AB43" s="36" t="n">
        <f aca="false">AB36+SUM(AB39:AB42)</f>
        <v>56.2091887117183</v>
      </c>
      <c r="AC43" s="36" t="n">
        <f aca="false">AC36+SUM(AC39:AC42)</f>
        <v>57.4514117822473</v>
      </c>
      <c r="AD43" s="36" t="n">
        <f aca="false">AD36+SUM(AD39:AD42)</f>
        <v>58.721087982635</v>
      </c>
      <c r="AE43" s="36" t="n">
        <f aca="false">AE36+SUM(AE39:AE42)</f>
        <v>60.0188240270512</v>
      </c>
      <c r="AF43" s="36" t="n">
        <f aca="false">AF36+SUM(AF39:AF42)</f>
        <v>61.345240038049</v>
      </c>
      <c r="AG43" s="36" t="n">
        <f aca="false">AG36+SUM(AG39:AG42)</f>
        <v>62.7009698428899</v>
      </c>
      <c r="AH43" s="36" t="n">
        <f aca="false">AH36+SUM(AH39:AH42)</f>
        <v>64.0866612764178</v>
      </c>
      <c r="AI43" s="36" t="n">
        <f aca="false">AI36+SUM(AI39:AI42)</f>
        <v>65.5029764906266</v>
      </c>
      <c r="AJ43" s="36" t="n">
        <f aca="false">AJ36+SUM(AJ39:AJ42)</f>
        <v>66.9505922710695</v>
      </c>
      <c r="AK43" s="36" t="n">
        <f aca="false">AK36+SUM(AK39:AK42)</f>
        <v>68.4302003602601</v>
      </c>
      <c r="AL43" s="36" t="n">
        <f aca="false">AL36+SUM(AL39:AL42)</f>
        <v>69.9425077882219</v>
      </c>
      <c r="AM43" s="36" t="n">
        <f aca="false">AM36+SUM(AM39:AM42)</f>
        <v>71.4882372103416</v>
      </c>
      <c r="AN43" s="36" t="n">
        <f aca="false">AN36+SUM(AN39:AN42)</f>
        <v>73.0681272526901</v>
      </c>
      <c r="AO43" s="36" t="n">
        <f aca="false">AO36+SUM(AO39:AO42)</f>
        <v>74.6829328649746</v>
      </c>
      <c r="AP43" s="36" t="n">
        <f aca="false">AP36+SUM(AP39:AP42)</f>
        <v>76.3334256812905</v>
      </c>
      <c r="AQ43" s="36" t="n">
        <f aca="false">AQ36+SUM(AQ39:AQ42)</f>
        <v>78.020394388847</v>
      </c>
      <c r="AR43" s="36" t="n">
        <f aca="false">AR36+SUM(AR39:AR42)</f>
        <v>79.7446451048406</v>
      </c>
      <c r="AS43" s="36" t="n">
        <f aca="false">AS36+SUM(AS39:AS42)</f>
        <v>81.5070017616575</v>
      </c>
      <c r="AT43" s="36" t="n">
        <f aca="false">AT36+SUM(AT39:AT42)</f>
        <v>83.3083065005902</v>
      </c>
      <c r="AU43" s="36" t="n">
        <f aca="false">AU36+SUM(AU39:AU42)</f>
        <v>85.1494200742532</v>
      </c>
      <c r="AV43" s="36" t="n">
        <f aca="false">AV36+SUM(AV39:AV42)</f>
        <v>87.0312222578942</v>
      </c>
      <c r="AW43" s="36" t="n">
        <f aca="false">AW36+SUM(AW39:AW42)</f>
        <v>88.9546122697937</v>
      </c>
      <c r="AX43" s="36" t="n">
        <f aca="false">AX36+SUM(AX39:AX42)</f>
        <v>90.9205092009561</v>
      </c>
      <c r="AY43" s="36" t="n">
        <f aca="false">AY36+SUM(AY39:AY42)</f>
        <v>92.9298524542973</v>
      </c>
      <c r="AZ43" s="36" t="n">
        <f aca="false">AZ36+SUM(AZ39:AZ42)</f>
        <v>94.9836021935372</v>
      </c>
    </row>
    <row r="45" customFormat="false" ht="15" hidden="false" customHeight="false" outlineLevel="0" collapsed="false">
      <c r="A45" s="31" t="s">
        <v>152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</row>
    <row r="46" customFormat="false" ht="15" hidden="false" customHeight="false" outlineLevel="0" collapsed="false">
      <c r="A46" s="3" t="s">
        <v>153</v>
      </c>
      <c r="C46" s="37" t="n">
        <f aca="false">SUM(D46:AZ46)</f>
        <v>2546.72403594429</v>
      </c>
      <c r="D46" s="37" t="n">
        <f aca="false">D43-D22</f>
        <v>0</v>
      </c>
      <c r="E46" s="37" t="n">
        <f aca="false">E43-E22</f>
        <v>-40.053878723584</v>
      </c>
      <c r="F46" s="37" t="n">
        <f aca="false">F43-F22</f>
        <v>-115.147666489856</v>
      </c>
      <c r="G46" s="37" t="n">
        <f aca="false">G43-G22</f>
        <v>-45.363221110715</v>
      </c>
      <c r="H46" s="37" t="n">
        <f aca="false">H43-H22</f>
        <v>33.3658712990541</v>
      </c>
      <c r="I46" s="37" t="n">
        <f aca="false">I43-I22</f>
        <v>37.1050430275907</v>
      </c>
      <c r="J46" s="37" t="n">
        <f aca="false">J43-J22</f>
        <v>37.9250644785005</v>
      </c>
      <c r="K46" s="37" t="n">
        <f aca="false">K43-K22</f>
        <v>38.7632084034754</v>
      </c>
      <c r="L46" s="37" t="n">
        <f aca="false">L43-L22</f>
        <v>39.6198753091922</v>
      </c>
      <c r="M46" s="37" t="n">
        <f aca="false">M43-M22</f>
        <v>40.4954745535253</v>
      </c>
      <c r="N46" s="37" t="n">
        <f aca="false">N43-N22</f>
        <v>41.3904245411582</v>
      </c>
      <c r="O46" s="37" t="n">
        <f aca="false">O43-O22</f>
        <v>42.3051529235178</v>
      </c>
      <c r="P46" s="37" t="n">
        <f aca="false">P43-P22</f>
        <v>43.2400968031276</v>
      </c>
      <c r="Q46" s="37" t="n">
        <f aca="false">Q43-Q22</f>
        <v>44.1957029424767</v>
      </c>
      <c r="R46" s="37" t="n">
        <f aca="false">R43-R22</f>
        <v>45.1724279775054</v>
      </c>
      <c r="S46" s="37" t="n">
        <f aca="false">S43-S22</f>
        <v>46.1707386358083</v>
      </c>
      <c r="T46" s="37" t="n">
        <f aca="false">T43-T22</f>
        <v>47.1911119596596</v>
      </c>
      <c r="U46" s="37" t="n">
        <f aca="false">U43-U22</f>
        <v>48.2340355339681</v>
      </c>
      <c r="V46" s="37" t="n">
        <f aca="false">V43-V22</f>
        <v>49.3000077192688</v>
      </c>
      <c r="W46" s="37" t="n">
        <f aca="false">W43-W22</f>
        <v>50.3895378898647</v>
      </c>
      <c r="X46" s="37" t="n">
        <f aca="false">X43-X22</f>
        <v>51.5031466772307</v>
      </c>
      <c r="Y46" s="37" t="n">
        <f aca="false">Y43-Y22</f>
        <v>52.6413662187975</v>
      </c>
      <c r="Z46" s="37" t="n">
        <f aca="false">Z43-Z22</f>
        <v>53.8047404122329</v>
      </c>
      <c r="AA46" s="37" t="n">
        <f aca="false">AA43-AA22</f>
        <v>54.9938251753433</v>
      </c>
      <c r="AB46" s="37" t="n">
        <f aca="false">AB43-AB22</f>
        <v>56.2091887117183</v>
      </c>
      <c r="AC46" s="37" t="n">
        <f aca="false">AC43-AC22</f>
        <v>57.4514117822473</v>
      </c>
      <c r="AD46" s="37" t="n">
        <f aca="false">AD43-AD22</f>
        <v>58.721087982635</v>
      </c>
      <c r="AE46" s="37" t="n">
        <f aca="false">AE43-AE22</f>
        <v>60.0188240270512</v>
      </c>
      <c r="AF46" s="37" t="n">
        <f aca="false">AF43-AF22</f>
        <v>61.345240038049</v>
      </c>
      <c r="AG46" s="37" t="n">
        <f aca="false">AG43-AG22</f>
        <v>62.7009698428899</v>
      </c>
      <c r="AH46" s="37" t="n">
        <f aca="false">AH43-AH22</f>
        <v>64.0866612764178</v>
      </c>
      <c r="AI46" s="37" t="n">
        <f aca="false">AI43-AI22</f>
        <v>65.5029764906266</v>
      </c>
      <c r="AJ46" s="37" t="n">
        <f aca="false">AJ43-AJ22</f>
        <v>66.9505922710695</v>
      </c>
      <c r="AK46" s="37" t="n">
        <f aca="false">AK43-AK22</f>
        <v>68.4302003602601</v>
      </c>
      <c r="AL46" s="37" t="n">
        <f aca="false">AL43-AL22</f>
        <v>69.9425077882219</v>
      </c>
      <c r="AM46" s="37" t="n">
        <f aca="false">AM43-AM22</f>
        <v>71.4882372103416</v>
      </c>
      <c r="AN46" s="37" t="n">
        <f aca="false">AN43-AN22</f>
        <v>73.0681272526901</v>
      </c>
      <c r="AO46" s="37" t="n">
        <f aca="false">AO43-AO22</f>
        <v>74.6829328649746</v>
      </c>
      <c r="AP46" s="37" t="n">
        <f aca="false">AP43-AP22</f>
        <v>76.3334256812905</v>
      </c>
      <c r="AQ46" s="37" t="n">
        <f aca="false">AQ43-AQ22</f>
        <v>78.020394388847</v>
      </c>
      <c r="AR46" s="37" t="n">
        <f aca="false">AR43-AR22</f>
        <v>79.7446451048406</v>
      </c>
      <c r="AS46" s="37" t="n">
        <f aca="false">AS43-AS22</f>
        <v>81.5070017616575</v>
      </c>
      <c r="AT46" s="37" t="n">
        <f aca="false">AT43-AT22</f>
        <v>83.3083065005902</v>
      </c>
      <c r="AU46" s="37" t="n">
        <f aca="false">AU43-AU22</f>
        <v>85.1494200742532</v>
      </c>
      <c r="AV46" s="37" t="n">
        <f aca="false">AV43-AV22</f>
        <v>87.0312222578942</v>
      </c>
      <c r="AW46" s="37" t="n">
        <f aca="false">AW43-AW22</f>
        <v>88.9546122697937</v>
      </c>
      <c r="AX46" s="37" t="n">
        <f aca="false">AX43-AX22</f>
        <v>90.9205092009561</v>
      </c>
      <c r="AY46" s="37" t="n">
        <f aca="false">AY43-AY22</f>
        <v>92.9298524542973</v>
      </c>
      <c r="AZ46" s="37" t="n">
        <f aca="false">AZ43-AZ22</f>
        <v>94.9836021935372</v>
      </c>
    </row>
    <row r="47" customFormat="false" ht="15" hidden="false" customHeight="false" outlineLevel="0" collapsed="false">
      <c r="A47" s="33" t="s">
        <v>154</v>
      </c>
      <c r="D47" s="34" t="n">
        <f aca="false">D46</f>
        <v>0</v>
      </c>
      <c r="E47" s="34" t="n">
        <f aca="false">D47+E46</f>
        <v>-40.053878723584</v>
      </c>
      <c r="F47" s="34" t="n">
        <f aca="false">E47+F46</f>
        <v>-155.20154521344</v>
      </c>
      <c r="G47" s="34" t="n">
        <f aca="false">F47+G46</f>
        <v>-200.564766324155</v>
      </c>
      <c r="H47" s="34" t="n">
        <f aca="false">G47+H46</f>
        <v>-167.198895025101</v>
      </c>
      <c r="I47" s="34" t="n">
        <f aca="false">H47+I46</f>
        <v>-130.09385199751</v>
      </c>
      <c r="J47" s="34" t="n">
        <f aca="false">I47+J46</f>
        <v>-92.1687875190098</v>
      </c>
      <c r="K47" s="34" t="n">
        <f aca="false">J47+K46</f>
        <v>-53.4055791155345</v>
      </c>
      <c r="L47" s="34" t="n">
        <f aca="false">K47+L46</f>
        <v>-13.7857038063423</v>
      </c>
      <c r="M47" s="34" t="n">
        <f aca="false">L47+M46</f>
        <v>26.709770747183</v>
      </c>
      <c r="N47" s="34" t="n">
        <f aca="false">M47+N46</f>
        <v>68.1001952883413</v>
      </c>
      <c r="O47" s="34" t="n">
        <f aca="false">N47+O46</f>
        <v>110.405348211859</v>
      </c>
      <c r="P47" s="34" t="n">
        <f aca="false">O47+P46</f>
        <v>153.645445014987</v>
      </c>
      <c r="Q47" s="34" t="n">
        <f aca="false">P47+Q46</f>
        <v>197.841147957463</v>
      </c>
      <c r="R47" s="34" t="n">
        <f aca="false">Q47+R46</f>
        <v>243.013575934969</v>
      </c>
      <c r="S47" s="34" t="n">
        <f aca="false">R47+S46</f>
        <v>289.184314570777</v>
      </c>
      <c r="T47" s="34" t="n">
        <f aca="false">S47+T46</f>
        <v>336.375426530437</v>
      </c>
      <c r="U47" s="34" t="n">
        <f aca="false">T47+U46</f>
        <v>384.609462064405</v>
      </c>
      <c r="V47" s="34" t="n">
        <f aca="false">U47+V46</f>
        <v>433.909469783674</v>
      </c>
      <c r="W47" s="34" t="n">
        <f aca="false">V47+W46</f>
        <v>484.299007673538</v>
      </c>
      <c r="X47" s="34" t="n">
        <f aca="false">W47+X46</f>
        <v>535.802154350769</v>
      </c>
      <c r="Y47" s="34" t="n">
        <f aca="false">X47+Y46</f>
        <v>588.443520569566</v>
      </c>
      <c r="Z47" s="34" t="n">
        <f aca="false">Y47+Z46</f>
        <v>642.248260981799</v>
      </c>
      <c r="AA47" s="34" t="n">
        <f aca="false">Z47+AA46</f>
        <v>697.242086157143</v>
      </c>
      <c r="AB47" s="34" t="n">
        <f aca="false">AA47+AB46</f>
        <v>753.451274868861</v>
      </c>
      <c r="AC47" s="34" t="n">
        <f aca="false">AB47+AC46</f>
        <v>810.902686651108</v>
      </c>
      <c r="AD47" s="34" t="n">
        <f aca="false">AC47+AD46</f>
        <v>869.623774633743</v>
      </c>
      <c r="AE47" s="34" t="n">
        <f aca="false">AD47+AE46</f>
        <v>929.642598660794</v>
      </c>
      <c r="AF47" s="34" t="n">
        <f aca="false">AE47+AF46</f>
        <v>990.987838698843</v>
      </c>
      <c r="AG47" s="34" t="n">
        <f aca="false">AF47+AG46</f>
        <v>1053.68880854173</v>
      </c>
      <c r="AH47" s="34" t="n">
        <f aca="false">AG47+AH46</f>
        <v>1117.77546981815</v>
      </c>
      <c r="AI47" s="34" t="n">
        <f aca="false">AH47+AI46</f>
        <v>1183.27844630878</v>
      </c>
      <c r="AJ47" s="34" t="n">
        <f aca="false">AI47+AJ46</f>
        <v>1250.22903857985</v>
      </c>
      <c r="AK47" s="34" t="n">
        <f aca="false">AJ47+AK46</f>
        <v>1318.65923894011</v>
      </c>
      <c r="AL47" s="34" t="n">
        <f aca="false">AK47+AL46</f>
        <v>1388.60174672833</v>
      </c>
      <c r="AM47" s="34" t="n">
        <f aca="false">AL47+AM46</f>
        <v>1460.08998393867</v>
      </c>
      <c r="AN47" s="34" t="n">
        <f aca="false">AM47+AN46</f>
        <v>1533.15811119136</v>
      </c>
      <c r="AO47" s="34" t="n">
        <f aca="false">AN47+AO46</f>
        <v>1607.84104405634</v>
      </c>
      <c r="AP47" s="34" t="n">
        <f aca="false">AO47+AP46</f>
        <v>1684.17446973763</v>
      </c>
      <c r="AQ47" s="34" t="n">
        <f aca="false">AP47+AQ46</f>
        <v>1762.19486412647</v>
      </c>
      <c r="AR47" s="34" t="n">
        <f aca="false">AQ47+AR46</f>
        <v>1841.93950923131</v>
      </c>
      <c r="AS47" s="34" t="n">
        <f aca="false">AR47+AS46</f>
        <v>1923.44651099297</v>
      </c>
      <c r="AT47" s="34" t="n">
        <f aca="false">AS47+AT46</f>
        <v>2006.75481749356</v>
      </c>
      <c r="AU47" s="34" t="n">
        <f aca="false">AT47+AU46</f>
        <v>2091.90423756782</v>
      </c>
      <c r="AV47" s="34" t="n">
        <f aca="false">AU47+AV46</f>
        <v>2178.93545982571</v>
      </c>
      <c r="AW47" s="34" t="n">
        <f aca="false">AV47+AW46</f>
        <v>2267.8900720955</v>
      </c>
      <c r="AX47" s="34" t="n">
        <f aca="false">AW47+AX46</f>
        <v>2358.81058129646</v>
      </c>
      <c r="AY47" s="34" t="n">
        <f aca="false">AX47+AY46</f>
        <v>2451.74043375076</v>
      </c>
      <c r="AZ47" s="34" t="n">
        <f aca="false">AY47+AZ46</f>
        <v>2546.72403594429</v>
      </c>
    </row>
    <row r="48" customFormat="false" ht="15" hidden="false" customHeight="false" outlineLevel="0" collapsed="false">
      <c r="A48" s="33" t="s">
        <v>155</v>
      </c>
      <c r="D48" s="34" t="n">
        <f aca="false">IF(2026=Inputs!$B$176,E43/Inputs!$B$177*(1-(1+Inputs!$B$177)^-(Inputs!$B$55-2026)),0)</f>
        <v>0</v>
      </c>
      <c r="E48" s="34" t="n">
        <f aca="false">IF(2027=Inputs!$B$176,F43/Inputs!$B$177*(1-(1+Inputs!$B$177)^-(Inputs!$B$55-2027)),0)</f>
        <v>0</v>
      </c>
      <c r="F48" s="34" t="n">
        <f aca="false">IF(2028=Inputs!$B$176,G43/Inputs!$B$177*(1-(1+Inputs!$B$177)^-(Inputs!$B$55-2028)),0)</f>
        <v>0</v>
      </c>
      <c r="G48" s="34" t="n">
        <f aca="false">IF(2029=Inputs!$B$176,H43/Inputs!$B$177*(1-(1+Inputs!$B$177)^-(Inputs!$B$55-2029)),0)</f>
        <v>0</v>
      </c>
      <c r="H48" s="34" t="n">
        <f aca="false">IF(2030=Inputs!$B$176,I43/Inputs!$B$177*(1-(1+Inputs!$B$177)^-(Inputs!$B$55-2030)),0)</f>
        <v>0</v>
      </c>
      <c r="I48" s="34" t="n">
        <f aca="false">IF(2031=Inputs!$B$176,J43/Inputs!$B$177*(1-(1+Inputs!$B$177)^-(Inputs!$B$55-2031)),0)</f>
        <v>0</v>
      </c>
      <c r="J48" s="34" t="n">
        <f aca="false">IF(2032=Inputs!$B$176,K43/Inputs!$B$177*(1-(1+Inputs!$B$177)^-(Inputs!$B$55-2032)),0)</f>
        <v>0</v>
      </c>
      <c r="K48" s="34" t="n">
        <f aca="false">IF(2033=Inputs!$B$176,L43/Inputs!$B$177*(1-(1+Inputs!$B$177)^-(Inputs!$B$55-2033)),0)</f>
        <v>0</v>
      </c>
      <c r="L48" s="34" t="n">
        <f aca="false">IF(2034=Inputs!$B$176,M43/Inputs!$B$177*(1-(1+Inputs!$B$177)^-(Inputs!$B$55-2034)),0)</f>
        <v>0</v>
      </c>
      <c r="M48" s="34" t="n">
        <f aca="false">IF(2035=Inputs!$B$176,N43/Inputs!$B$177*(1-(1+Inputs!$B$177)^-(Inputs!$B$55-2035)),0)</f>
        <v>0</v>
      </c>
      <c r="N48" s="34" t="n">
        <f aca="false">IF(2036=Inputs!$B$176,O43/Inputs!$B$177*(1-(1+Inputs!$B$177)^-(Inputs!$B$55-2036)),0)</f>
        <v>0</v>
      </c>
      <c r="O48" s="34" t="n">
        <f aca="false">IF(2037=Inputs!$B$176,P43/Inputs!$B$177*(1-(1+Inputs!$B$177)^-(Inputs!$B$55-2037)),0)</f>
        <v>0</v>
      </c>
      <c r="P48" s="34" t="n">
        <f aca="false">IF(2038=Inputs!$B$176,Q43/Inputs!$B$177*(1-(1+Inputs!$B$177)^-(Inputs!$B$55-2038)),0)</f>
        <v>0</v>
      </c>
      <c r="Q48" s="34" t="n">
        <f aca="false">IF(2039=Inputs!$B$176,R43/Inputs!$B$177*(1-(1+Inputs!$B$177)^-(Inputs!$B$55-2039)),0)</f>
        <v>0</v>
      </c>
      <c r="R48" s="34" t="n">
        <f aca="false">IF(2040=Inputs!$B$176,S43/Inputs!$B$177*(1-(1+Inputs!$B$177)^-(Inputs!$B$55-2040)),0)</f>
        <v>443.634998979731</v>
      </c>
      <c r="S48" s="34" t="n">
        <f aca="false">IF(2041=Inputs!$B$176,T43/Inputs!$B$177*(1-(1+Inputs!$B$177)^-(Inputs!$B$55-2041)),0)</f>
        <v>0</v>
      </c>
      <c r="T48" s="34" t="n">
        <f aca="false">IF(2042=Inputs!$B$176,U43/Inputs!$B$177*(1-(1+Inputs!$B$177)^-(Inputs!$B$55-2042)),0)</f>
        <v>0</v>
      </c>
      <c r="U48" s="34" t="n">
        <f aca="false">IF(2043=Inputs!$B$176,V43/Inputs!$B$177*(1-(1+Inputs!$B$177)^-(Inputs!$B$55-2043)),0)</f>
        <v>0</v>
      </c>
      <c r="V48" s="34" t="n">
        <f aca="false">IF(2044=Inputs!$B$176,W43/Inputs!$B$177*(1-(1+Inputs!$B$177)^-(Inputs!$B$55-2044)),0)</f>
        <v>0</v>
      </c>
      <c r="W48" s="34" t="n">
        <f aca="false">IF(2045=Inputs!$B$176,X43/Inputs!$B$177*(1-(1+Inputs!$B$177)^-(Inputs!$B$55-2045)),0)</f>
        <v>0</v>
      </c>
      <c r="X48" s="34" t="n">
        <f aca="false">IF(2046=Inputs!$B$176,Y43/Inputs!$B$177*(1-(1+Inputs!$B$177)^-(Inputs!$B$55-2046)),0)</f>
        <v>0</v>
      </c>
      <c r="Y48" s="34" t="n">
        <f aca="false">IF(2047=Inputs!$B$176,Z43/Inputs!$B$177*(1-(1+Inputs!$B$177)^-(Inputs!$B$55-2047)),0)</f>
        <v>0</v>
      </c>
      <c r="Z48" s="34" t="n">
        <f aca="false">IF(2048=Inputs!$B$176,AA43/Inputs!$B$177*(1-(1+Inputs!$B$177)^-(Inputs!$B$55-2048)),0)</f>
        <v>0</v>
      </c>
      <c r="AA48" s="34" t="n">
        <f aca="false">IF(2049=Inputs!$B$176,AB43/Inputs!$B$177*(1-(1+Inputs!$B$177)^-(Inputs!$B$55-2049)),0)</f>
        <v>0</v>
      </c>
      <c r="AB48" s="34" t="n">
        <f aca="false">IF(2050=Inputs!$B$176,AC43/Inputs!$B$177*(1-(1+Inputs!$B$177)^-(Inputs!$B$55-2050)),0)</f>
        <v>0</v>
      </c>
      <c r="AC48" s="34" t="n">
        <f aca="false">IF(2051=Inputs!$B$176,AD43/Inputs!$B$177*(1-(1+Inputs!$B$177)^-(Inputs!$B$55-2051)),0)</f>
        <v>0</v>
      </c>
      <c r="AD48" s="34" t="n">
        <f aca="false">IF(2052=Inputs!$B$176,AE43/Inputs!$B$177*(1-(1+Inputs!$B$177)^-(Inputs!$B$55-2052)),0)</f>
        <v>0</v>
      </c>
      <c r="AE48" s="34" t="n">
        <f aca="false">IF(2053=Inputs!$B$176,AF43/Inputs!$B$177*(1-(1+Inputs!$B$177)^-(Inputs!$B$55-2053)),0)</f>
        <v>0</v>
      </c>
      <c r="AF48" s="34" t="n">
        <f aca="false">IF(2054=Inputs!$B$176,AG43/Inputs!$B$177*(1-(1+Inputs!$B$177)^-(Inputs!$B$55-2054)),0)</f>
        <v>0</v>
      </c>
      <c r="AG48" s="34" t="n">
        <f aca="false">IF(2055=Inputs!$B$176,AH43/Inputs!$B$177*(1-(1+Inputs!$B$177)^-(Inputs!$B$55-2055)),0)</f>
        <v>0</v>
      </c>
      <c r="AH48" s="34" t="n">
        <f aca="false">IF(2056=Inputs!$B$176,AI43/Inputs!$B$177*(1-(1+Inputs!$B$177)^-(Inputs!$B$55-2056)),0)</f>
        <v>0</v>
      </c>
      <c r="AI48" s="34" t="n">
        <f aca="false">IF(2057=Inputs!$B$176,AJ43/Inputs!$B$177*(1-(1+Inputs!$B$177)^-(Inputs!$B$55-2057)),0)</f>
        <v>0</v>
      </c>
      <c r="AJ48" s="34" t="n">
        <f aca="false">IF(2058=Inputs!$B$176,AK43/Inputs!$B$177*(1-(1+Inputs!$B$177)^-(Inputs!$B$55-2058)),0)</f>
        <v>0</v>
      </c>
      <c r="AK48" s="34" t="n">
        <f aca="false">IF(2059=Inputs!$B$176,AL43/Inputs!$B$177*(1-(1+Inputs!$B$177)^-(Inputs!$B$55-2059)),0)</f>
        <v>0</v>
      </c>
      <c r="AL48" s="34" t="n">
        <f aca="false">IF(2060=Inputs!$B$176,AM43/Inputs!$B$177*(1-(1+Inputs!$B$177)^-(Inputs!$B$55-2060)),0)</f>
        <v>0</v>
      </c>
      <c r="AM48" s="34" t="n">
        <f aca="false">IF(2061=Inputs!$B$176,AN43/Inputs!$B$177*(1-(1+Inputs!$B$177)^-(Inputs!$B$55-2061)),0)</f>
        <v>0</v>
      </c>
      <c r="AN48" s="34" t="n">
        <f aca="false">IF(2062=Inputs!$B$176,AO43/Inputs!$B$177*(1-(1+Inputs!$B$177)^-(Inputs!$B$55-2062)),0)</f>
        <v>0</v>
      </c>
      <c r="AO48" s="34" t="n">
        <f aca="false">IF(2063=Inputs!$B$176,AP43/Inputs!$B$177*(1-(1+Inputs!$B$177)^-(Inputs!$B$55-2063)),0)</f>
        <v>0</v>
      </c>
      <c r="AP48" s="34" t="n">
        <f aca="false">IF(2064=Inputs!$B$176,AQ43/Inputs!$B$177*(1-(1+Inputs!$B$177)^-(Inputs!$B$55-2064)),0)</f>
        <v>0</v>
      </c>
      <c r="AQ48" s="34" t="n">
        <f aca="false">IF(2065=Inputs!$B$176,AR43/Inputs!$B$177*(1-(1+Inputs!$B$177)^-(Inputs!$B$55-2065)),0)</f>
        <v>0</v>
      </c>
      <c r="AR48" s="34" t="n">
        <f aca="false">IF(2066=Inputs!$B$176,AS43/Inputs!$B$177*(1-(1+Inputs!$B$177)^-(Inputs!$B$55-2066)),0)</f>
        <v>0</v>
      </c>
      <c r="AS48" s="34" t="n">
        <f aca="false">IF(2067=Inputs!$B$176,AT43/Inputs!$B$177*(1-(1+Inputs!$B$177)^-(Inputs!$B$55-2067)),0)</f>
        <v>0</v>
      </c>
      <c r="AT48" s="34" t="n">
        <f aca="false">IF(2068=Inputs!$B$176,AU43/Inputs!$B$177*(1-(1+Inputs!$B$177)^-(Inputs!$B$55-2068)),0)</f>
        <v>0</v>
      </c>
      <c r="AU48" s="34" t="n">
        <f aca="false">IF(2069=Inputs!$B$176,AV43/Inputs!$B$177*(1-(1+Inputs!$B$177)^-(Inputs!$B$55-2069)),0)</f>
        <v>0</v>
      </c>
      <c r="AV48" s="34" t="n">
        <f aca="false">IF(2070=Inputs!$B$176,AW43/Inputs!$B$177*(1-(1+Inputs!$B$177)^-(Inputs!$B$55-2070)),0)</f>
        <v>0</v>
      </c>
      <c r="AW48" s="34" t="n">
        <f aca="false">IF(2071=Inputs!$B$176,AX43/Inputs!$B$177*(1-(1+Inputs!$B$177)^-(Inputs!$B$55-2071)),0)</f>
        <v>0</v>
      </c>
      <c r="AX48" s="34" t="n">
        <f aca="false">IF(2072=Inputs!$B$176,AY43/Inputs!$B$177*(1-(1+Inputs!$B$177)^-(Inputs!$B$55-2072)),0)</f>
        <v>0</v>
      </c>
      <c r="AY48" s="34" t="n">
        <f aca="false">IF(2073=Inputs!$B$176,AZ43/Inputs!$B$177*(1-(1+Inputs!$B$177)^-(Inputs!$B$55-2073)),0)</f>
        <v>0</v>
      </c>
      <c r="AZ48" s="34" t="n">
        <f aca="false">IF(2074=Inputs!$B$176,AZ43/Inputs!$B$177*(1-(1+Inputs!$B$177)^-(Inputs!$B$55-2074)),0)</f>
        <v>0</v>
      </c>
    </row>
    <row r="49" customFormat="false" ht="15" hidden="false" customHeight="false" outlineLevel="0" collapsed="false">
      <c r="A49" s="3" t="s">
        <v>156</v>
      </c>
      <c r="C49" s="37" t="n">
        <f aca="false">SUM(D49:AZ49)</f>
        <v>686.6485749147</v>
      </c>
      <c r="D49" s="37" t="n">
        <f aca="false">IF(2026&gt;Inputs!$B$176,0,D46+D48)</f>
        <v>0</v>
      </c>
      <c r="E49" s="37" t="n">
        <f aca="false">IF(2027&gt;Inputs!$B$176,0,E46+E48)</f>
        <v>-40.053878723584</v>
      </c>
      <c r="F49" s="37" t="n">
        <f aca="false">IF(2028&gt;Inputs!$B$176,0,F46+F48)</f>
        <v>-115.147666489856</v>
      </c>
      <c r="G49" s="37" t="n">
        <f aca="false">IF(2029&gt;Inputs!$B$176,0,G46+G48)</f>
        <v>-45.363221110715</v>
      </c>
      <c r="H49" s="37" t="n">
        <f aca="false">IF(2030&gt;Inputs!$B$176,0,H46+H48)</f>
        <v>33.3658712990541</v>
      </c>
      <c r="I49" s="37" t="n">
        <f aca="false">IF(2031&gt;Inputs!$B$176,0,I46+I48)</f>
        <v>37.1050430275907</v>
      </c>
      <c r="J49" s="37" t="n">
        <f aca="false">IF(2032&gt;Inputs!$B$176,0,J46+J48)</f>
        <v>37.9250644785005</v>
      </c>
      <c r="K49" s="37" t="n">
        <f aca="false">IF(2033&gt;Inputs!$B$176,0,K46+K48)</f>
        <v>38.7632084034754</v>
      </c>
      <c r="L49" s="37" t="n">
        <f aca="false">IF(2034&gt;Inputs!$B$176,0,L46+L48)</f>
        <v>39.6198753091922</v>
      </c>
      <c r="M49" s="37" t="n">
        <f aca="false">IF(2035&gt;Inputs!$B$176,0,M46+M48)</f>
        <v>40.4954745535253</v>
      </c>
      <c r="N49" s="37" t="n">
        <f aca="false">IF(2036&gt;Inputs!$B$176,0,N46+N48)</f>
        <v>41.3904245411582</v>
      </c>
      <c r="O49" s="37" t="n">
        <f aca="false">IF(2037&gt;Inputs!$B$176,0,O46+O48)</f>
        <v>42.3051529235178</v>
      </c>
      <c r="P49" s="37" t="n">
        <f aca="false">IF(2038&gt;Inputs!$B$176,0,P46+P48)</f>
        <v>43.2400968031276</v>
      </c>
      <c r="Q49" s="37" t="n">
        <f aca="false">IF(2039&gt;Inputs!$B$176,0,Q46+Q48)</f>
        <v>44.1957029424767</v>
      </c>
      <c r="R49" s="37" t="n">
        <f aca="false">IF(2040&gt;Inputs!$B$176,0,R46+R48)</f>
        <v>488.807426957236</v>
      </c>
      <c r="S49" s="37" t="n">
        <f aca="false">IF(2041&gt;Inputs!$B$176,0,S46+S48)</f>
        <v>0</v>
      </c>
      <c r="T49" s="37" t="n">
        <f aca="false">IF(2042&gt;Inputs!$B$176,0,T46+T48)</f>
        <v>0</v>
      </c>
      <c r="U49" s="37" t="n">
        <f aca="false">IF(2043&gt;Inputs!$B$176,0,U46+U48)</f>
        <v>0</v>
      </c>
      <c r="V49" s="37" t="n">
        <f aca="false">IF(2044&gt;Inputs!$B$176,0,V46+V48)</f>
        <v>0</v>
      </c>
      <c r="W49" s="37" t="n">
        <f aca="false">IF(2045&gt;Inputs!$B$176,0,W46+W48)</f>
        <v>0</v>
      </c>
      <c r="X49" s="37" t="n">
        <f aca="false">IF(2046&gt;Inputs!$B$176,0,X46+X48)</f>
        <v>0</v>
      </c>
      <c r="Y49" s="37" t="n">
        <f aca="false">IF(2047&gt;Inputs!$B$176,0,Y46+Y48)</f>
        <v>0</v>
      </c>
      <c r="Z49" s="37" t="n">
        <f aca="false">IF(2048&gt;Inputs!$B$176,0,Z46+Z48)</f>
        <v>0</v>
      </c>
      <c r="AA49" s="37" t="n">
        <f aca="false">IF(2049&gt;Inputs!$B$176,0,AA46+AA48)</f>
        <v>0</v>
      </c>
      <c r="AB49" s="37" t="n">
        <f aca="false">IF(2050&gt;Inputs!$B$176,0,AB46+AB48)</f>
        <v>0</v>
      </c>
      <c r="AC49" s="37" t="n">
        <f aca="false">IF(2051&gt;Inputs!$B$176,0,AC46+AC48)</f>
        <v>0</v>
      </c>
      <c r="AD49" s="37" t="n">
        <f aca="false">IF(2052&gt;Inputs!$B$176,0,AD46+AD48)</f>
        <v>0</v>
      </c>
      <c r="AE49" s="37" t="n">
        <f aca="false">IF(2053&gt;Inputs!$B$176,0,AE46+AE48)</f>
        <v>0</v>
      </c>
      <c r="AF49" s="37" t="n">
        <f aca="false">IF(2054&gt;Inputs!$B$176,0,AF46+AF48)</f>
        <v>0</v>
      </c>
      <c r="AG49" s="37" t="n">
        <f aca="false">IF(2055&gt;Inputs!$B$176,0,AG46+AG48)</f>
        <v>0</v>
      </c>
      <c r="AH49" s="37" t="n">
        <f aca="false">IF(2056&gt;Inputs!$B$176,0,AH46+AH48)</f>
        <v>0</v>
      </c>
      <c r="AI49" s="37" t="n">
        <f aca="false">IF(2057&gt;Inputs!$B$176,0,AI46+AI48)</f>
        <v>0</v>
      </c>
      <c r="AJ49" s="37" t="n">
        <f aca="false">IF(2058&gt;Inputs!$B$176,0,AJ46+AJ48)</f>
        <v>0</v>
      </c>
      <c r="AK49" s="37" t="n">
        <f aca="false">IF(2059&gt;Inputs!$B$176,0,AK46+AK48)</f>
        <v>0</v>
      </c>
      <c r="AL49" s="37" t="n">
        <f aca="false">IF(2060&gt;Inputs!$B$176,0,AL46+AL48)</f>
        <v>0</v>
      </c>
      <c r="AM49" s="37" t="n">
        <f aca="false">IF(2061&gt;Inputs!$B$176,0,AM46+AM48)</f>
        <v>0</v>
      </c>
      <c r="AN49" s="37" t="n">
        <f aca="false">IF(2062&gt;Inputs!$B$176,0,AN46+AN48)</f>
        <v>0</v>
      </c>
      <c r="AO49" s="37" t="n">
        <f aca="false">IF(2063&gt;Inputs!$B$176,0,AO46+AO48)</f>
        <v>0</v>
      </c>
      <c r="AP49" s="37" t="n">
        <f aca="false">IF(2064&gt;Inputs!$B$176,0,AP46+AP48)</f>
        <v>0</v>
      </c>
      <c r="AQ49" s="37" t="n">
        <f aca="false">IF(2065&gt;Inputs!$B$176,0,AQ46+AQ48)</f>
        <v>0</v>
      </c>
      <c r="AR49" s="37" t="n">
        <f aca="false">IF(2066&gt;Inputs!$B$176,0,AR46+AR48)</f>
        <v>0</v>
      </c>
      <c r="AS49" s="37" t="n">
        <f aca="false">IF(2067&gt;Inputs!$B$176,0,AS46+AS48)</f>
        <v>0</v>
      </c>
      <c r="AT49" s="37" t="n">
        <f aca="false">IF(2068&gt;Inputs!$B$176,0,AT46+AT48)</f>
        <v>0</v>
      </c>
      <c r="AU49" s="37" t="n">
        <f aca="false">IF(2069&gt;Inputs!$B$176,0,AU46+AU48)</f>
        <v>0</v>
      </c>
      <c r="AV49" s="37" t="n">
        <f aca="false">IF(2070&gt;Inputs!$B$176,0,AV46+AV48)</f>
        <v>0</v>
      </c>
      <c r="AW49" s="37" t="n">
        <f aca="false">IF(2071&gt;Inputs!$B$176,0,AW46+AW48)</f>
        <v>0</v>
      </c>
      <c r="AX49" s="37" t="n">
        <f aca="false">IF(2072&gt;Inputs!$B$176,0,AX46+AX48)</f>
        <v>0</v>
      </c>
      <c r="AY49" s="37" t="n">
        <f aca="false">IF(2073&gt;Inputs!$B$176,0,AY46+AY48)</f>
        <v>0</v>
      </c>
      <c r="AZ49" s="37" t="n">
        <f aca="false">IF(2074&gt;Inputs!$B$176,0,AZ46+AZ48)</f>
        <v>0</v>
      </c>
    </row>
    <row r="51" customFormat="false" ht="15" hidden="false" customHeight="false" outlineLevel="0" collapsed="false">
      <c r="A51" s="31" t="s">
        <v>157</v>
      </c>
      <c r="B51" s="32"/>
      <c r="C51" s="32"/>
    </row>
    <row r="52" customFormat="false" ht="15" hidden="false" customHeight="false" outlineLevel="0" collapsed="false">
      <c r="A52" s="3" t="s">
        <v>158</v>
      </c>
      <c r="C52" s="37" t="n">
        <f aca="false">IFERROR(C22,0)</f>
        <v>215.26939361792</v>
      </c>
    </row>
    <row r="53" customFormat="false" ht="15" hidden="false" customHeight="false" outlineLevel="0" collapsed="false">
      <c r="A53" s="3" t="s">
        <v>159</v>
      </c>
      <c r="C53" s="37" t="n">
        <f aca="false">IFERROR(J43,0)</f>
        <v>37.9250644785005</v>
      </c>
    </row>
    <row r="54" customFormat="false" ht="15" hidden="false" customHeight="false" outlineLevel="0" collapsed="false">
      <c r="A54" s="3" t="s">
        <v>160</v>
      </c>
      <c r="C54" s="41" t="n">
        <f aca="false">IFERROR(IF(J31=0,0,J43/J31),0)</f>
        <v>0.34608</v>
      </c>
    </row>
    <row r="55" customFormat="false" ht="15" hidden="false" customHeight="false" outlineLevel="0" collapsed="false">
      <c r="A55" s="3" t="s">
        <v>161</v>
      </c>
      <c r="C55" s="41" t="n">
        <f aca="false">IFERROR(J43/C22,0)</f>
        <v>0.176174902716609</v>
      </c>
    </row>
    <row r="56" customFormat="false" ht="15" hidden="false" customHeight="false" outlineLevel="0" collapsed="false">
      <c r="A56" s="3" t="s">
        <v>162</v>
      </c>
      <c r="C56" s="41" t="n">
        <f aca="false">IFERROR(IRR(D46:AZ46),0)</f>
        <v>0.174153224078377</v>
      </c>
    </row>
    <row r="57" customFormat="false" ht="15" hidden="false" customHeight="false" outlineLevel="0" collapsed="false">
      <c r="A57" s="3" t="s">
        <v>163</v>
      </c>
      <c r="C57" s="41" t="n">
        <f aca="false">IFERROR(IRR(D49:AZ49),0)</f>
        <v>0.189680705903918</v>
      </c>
    </row>
    <row r="58" customFormat="false" ht="15" hidden="false" customHeight="false" outlineLevel="0" collapsed="false">
      <c r="A58" s="3" t="s">
        <v>164</v>
      </c>
      <c r="C58" s="42" t="str">
        <f aca="false">IFERROR(INDEX(D4:AZ4,MATCH(TRUE(),INDEX(D47:AZ47&gt;0,0),0)),0)</f>
        <v>2035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43" t="s">
        <v>165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customFormat="false" ht="15" hidden="false" customHeight="false" outlineLevel="0" collapsed="false">
      <c r="A2" s="45" t="s">
        <v>166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customFormat="false" ht="15" hidden="false" customHeight="false" outlineLevel="0" collapsed="false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customFormat="false" ht="15" hidden="false" customHeight="false" outlineLevel="0" collapsed="false">
      <c r="A4" s="47" t="s">
        <v>167</v>
      </c>
      <c r="B4" s="48"/>
      <c r="C4" s="48"/>
      <c r="D4" s="48"/>
      <c r="E4" s="46"/>
      <c r="F4" s="46"/>
      <c r="G4" s="46"/>
      <c r="H4" s="46"/>
      <c r="I4" s="46"/>
      <c r="J4" s="46"/>
      <c r="K4" s="46"/>
    </row>
    <row r="5" customFormat="false" ht="15" hidden="false" customHeight="false" outlineLevel="0" collapsed="false">
      <c r="A5" s="49" t="s">
        <v>168</v>
      </c>
      <c r="B5" s="50" t="n">
        <v>1</v>
      </c>
      <c r="C5" s="51" t="s">
        <v>169</v>
      </c>
      <c r="D5" s="51" t="s">
        <v>170</v>
      </c>
      <c r="E5" s="46"/>
      <c r="F5" s="46"/>
      <c r="G5" s="46"/>
      <c r="H5" s="46"/>
      <c r="I5" s="46"/>
      <c r="J5" s="46"/>
      <c r="K5" s="46"/>
    </row>
    <row r="6" customFormat="false" ht="15" hidden="false" customHeight="false" outlineLevel="0" collapsed="false">
      <c r="A6" s="49" t="s">
        <v>171</v>
      </c>
      <c r="B6" s="50" t="n">
        <v>1</v>
      </c>
      <c r="C6" s="51" t="s">
        <v>169</v>
      </c>
      <c r="D6" s="51" t="s">
        <v>172</v>
      </c>
      <c r="E6" s="46"/>
      <c r="F6" s="46"/>
      <c r="G6" s="46"/>
      <c r="H6" s="46"/>
      <c r="I6" s="46"/>
      <c r="J6" s="46"/>
      <c r="K6" s="46"/>
    </row>
    <row r="7" customFormat="false" ht="15" hidden="false" customHeight="false" outlineLevel="0" collapsed="false">
      <c r="A7" s="49" t="s">
        <v>173</v>
      </c>
      <c r="B7" s="50" t="n">
        <v>1</v>
      </c>
      <c r="C7" s="51" t="s">
        <v>169</v>
      </c>
      <c r="D7" s="51" t="s">
        <v>172</v>
      </c>
      <c r="E7" s="46"/>
      <c r="F7" s="46"/>
      <c r="G7" s="46"/>
      <c r="H7" s="46"/>
      <c r="I7" s="46"/>
      <c r="J7" s="46"/>
      <c r="K7" s="46"/>
    </row>
    <row r="8" customFormat="false" ht="15" hidden="false" customHeight="false" outlineLevel="0" collapsed="false">
      <c r="A8" s="49" t="s">
        <v>174</v>
      </c>
      <c r="B8" s="50" t="n">
        <v>1</v>
      </c>
      <c r="C8" s="51" t="s">
        <v>169</v>
      </c>
      <c r="D8" s="51" t="s">
        <v>172</v>
      </c>
      <c r="E8" s="46"/>
      <c r="F8" s="46"/>
      <c r="G8" s="46"/>
      <c r="H8" s="46"/>
      <c r="I8" s="46"/>
      <c r="J8" s="46"/>
      <c r="K8" s="46"/>
    </row>
    <row r="9" customFormat="false" ht="15" hidden="false" customHeight="false" outlineLevel="0" collapsed="false">
      <c r="A9" s="49" t="s">
        <v>175</v>
      </c>
      <c r="B9" s="52" t="n">
        <v>0</v>
      </c>
      <c r="C9" s="51" t="s">
        <v>176</v>
      </c>
      <c r="D9" s="51" t="s">
        <v>177</v>
      </c>
      <c r="E9" s="46"/>
      <c r="F9" s="46"/>
      <c r="G9" s="46"/>
      <c r="H9" s="46"/>
      <c r="I9" s="46"/>
      <c r="J9" s="46"/>
      <c r="K9" s="46"/>
    </row>
    <row r="10" customFormat="false" ht="15" hidden="false" customHeight="false" outlineLevel="0" collapsed="false">
      <c r="A10" s="47" t="s">
        <v>178</v>
      </c>
      <c r="B10" s="48"/>
      <c r="C10" s="48"/>
      <c r="D10" s="48"/>
      <c r="E10" s="46"/>
      <c r="F10" s="46"/>
      <c r="G10" s="46"/>
      <c r="H10" s="46"/>
      <c r="I10" s="46"/>
      <c r="J10" s="46"/>
      <c r="K10" s="46"/>
    </row>
    <row r="11" customFormat="false" ht="15" hidden="false" customHeight="false" outlineLevel="0" collapsed="false">
      <c r="A11" s="49" t="s">
        <v>179</v>
      </c>
      <c r="B11" s="53" t="n">
        <v>0.64</v>
      </c>
      <c r="C11" s="51" t="s">
        <v>180</v>
      </c>
      <c r="D11" s="51" t="s">
        <v>181</v>
      </c>
      <c r="E11" s="46"/>
      <c r="F11" s="46"/>
      <c r="G11" s="46"/>
      <c r="H11" s="46"/>
      <c r="I11" s="46"/>
      <c r="J11" s="46"/>
      <c r="K11" s="46"/>
    </row>
    <row r="12" customFormat="false" ht="15" hidden="false" customHeight="false" outlineLevel="0" collapsed="false">
      <c r="A12" s="49" t="s">
        <v>182</v>
      </c>
      <c r="B12" s="53" t="n">
        <v>0.36</v>
      </c>
      <c r="C12" s="51" t="s">
        <v>180</v>
      </c>
      <c r="D12" s="51" t="s">
        <v>183</v>
      </c>
      <c r="E12" s="46"/>
      <c r="F12" s="46"/>
      <c r="G12" s="46"/>
      <c r="H12" s="46"/>
      <c r="I12" s="46"/>
      <c r="J12" s="46"/>
      <c r="K12" s="46"/>
    </row>
    <row r="13" customFormat="false" ht="15" hidden="false" customHeight="false" outlineLevel="0" collapsed="false">
      <c r="A13" s="49" t="s">
        <v>184</v>
      </c>
      <c r="B13" s="53" t="n">
        <v>0.05</v>
      </c>
      <c r="C13" s="51" t="s">
        <v>180</v>
      </c>
      <c r="D13" s="51" t="s">
        <v>185</v>
      </c>
      <c r="E13" s="46"/>
      <c r="F13" s="46"/>
      <c r="G13" s="46"/>
      <c r="H13" s="46"/>
      <c r="I13" s="46"/>
      <c r="J13" s="46"/>
      <c r="K13" s="46"/>
    </row>
    <row r="14" customFormat="false" ht="15" hidden="false" customHeight="false" outlineLevel="0" collapsed="false">
      <c r="A14" s="49" t="s">
        <v>186</v>
      </c>
      <c r="B14" s="54" t="n">
        <v>0</v>
      </c>
      <c r="C14" s="51" t="s">
        <v>187</v>
      </c>
      <c r="D14" s="51" t="s">
        <v>188</v>
      </c>
      <c r="E14" s="46"/>
      <c r="F14" s="46"/>
      <c r="G14" s="46"/>
      <c r="H14" s="46"/>
      <c r="I14" s="46"/>
      <c r="J14" s="46"/>
      <c r="K14" s="46"/>
    </row>
    <row r="15" customFormat="false" ht="15" hidden="false" customHeight="false" outlineLevel="0" collapsed="false">
      <c r="A15" s="49" t="s">
        <v>189</v>
      </c>
      <c r="B15" s="54" t="n">
        <v>0</v>
      </c>
      <c r="C15" s="51" t="s">
        <v>187</v>
      </c>
      <c r="D15" s="51" t="s">
        <v>190</v>
      </c>
      <c r="E15" s="46"/>
      <c r="F15" s="46"/>
      <c r="G15" s="46"/>
      <c r="H15" s="46"/>
      <c r="I15" s="46"/>
      <c r="J15" s="46"/>
      <c r="K15" s="46"/>
    </row>
    <row r="16" customFormat="false" ht="15" hidden="false" customHeight="false" outlineLevel="0" collapsed="false">
      <c r="A16" s="49" t="s">
        <v>191</v>
      </c>
      <c r="B16" s="54" t="n">
        <v>0</v>
      </c>
      <c r="C16" s="51" t="s">
        <v>187</v>
      </c>
      <c r="D16" s="51" t="s">
        <v>192</v>
      </c>
      <c r="E16" s="46"/>
      <c r="F16" s="46"/>
      <c r="G16" s="46"/>
      <c r="H16" s="46"/>
      <c r="I16" s="46"/>
      <c r="J16" s="46"/>
      <c r="K16" s="46"/>
    </row>
    <row r="17" customFormat="false" ht="15" hidden="false" customHeight="false" outlineLevel="0" collapsed="false">
      <c r="A17" s="49" t="s">
        <v>193</v>
      </c>
      <c r="B17" s="54" t="n">
        <v>0</v>
      </c>
      <c r="C17" s="51" t="s">
        <v>187</v>
      </c>
      <c r="D17" s="51" t="s">
        <v>194</v>
      </c>
      <c r="E17" s="46"/>
      <c r="F17" s="46"/>
      <c r="G17" s="46"/>
      <c r="H17" s="46"/>
      <c r="I17" s="46"/>
      <c r="J17" s="46"/>
      <c r="K17" s="46"/>
    </row>
    <row r="18" customFormat="false" ht="15" hidden="false" customHeight="false" outlineLevel="0" collapsed="false">
      <c r="A18" s="49" t="s">
        <v>195</v>
      </c>
      <c r="B18" s="54" t="n">
        <v>1</v>
      </c>
      <c r="C18" s="51" t="s">
        <v>187</v>
      </c>
      <c r="D18" s="51" t="s">
        <v>196</v>
      </c>
      <c r="E18" s="46"/>
      <c r="F18" s="46"/>
      <c r="G18" s="46"/>
      <c r="H18" s="46"/>
      <c r="I18" s="46"/>
      <c r="J18" s="46"/>
      <c r="K18" s="46"/>
    </row>
    <row r="19" customFormat="false" ht="15" hidden="false" customHeight="false" outlineLevel="0" collapsed="false">
      <c r="A19" s="49" t="s">
        <v>197</v>
      </c>
      <c r="B19" s="54" t="n">
        <v>1</v>
      </c>
      <c r="C19" s="51" t="s">
        <v>187</v>
      </c>
      <c r="D19" s="51" t="s">
        <v>198</v>
      </c>
      <c r="E19" s="46"/>
      <c r="F19" s="46"/>
      <c r="G19" s="46"/>
      <c r="H19" s="46"/>
      <c r="I19" s="46"/>
      <c r="J19" s="46"/>
      <c r="K19" s="46"/>
    </row>
    <row r="20" customFormat="false" ht="15" hidden="false" customHeight="false" outlineLevel="0" collapsed="false">
      <c r="A20" s="49" t="s">
        <v>199</v>
      </c>
      <c r="B20" s="55" t="n">
        <v>0</v>
      </c>
      <c r="C20" s="51" t="s">
        <v>200</v>
      </c>
      <c r="D20" s="51" t="s">
        <v>201</v>
      </c>
      <c r="E20" s="46"/>
      <c r="F20" s="46"/>
      <c r="G20" s="46"/>
      <c r="H20" s="46"/>
      <c r="I20" s="46"/>
      <c r="J20" s="46"/>
      <c r="K20" s="46"/>
    </row>
    <row r="21" customFormat="false" ht="15" hidden="false" customHeight="false" outlineLevel="0" collapsed="false">
      <c r="A21" s="49" t="s">
        <v>202</v>
      </c>
      <c r="B21" s="55" t="n">
        <v>125.825</v>
      </c>
      <c r="C21" s="51" t="s">
        <v>200</v>
      </c>
      <c r="D21" s="51" t="s">
        <v>183</v>
      </c>
      <c r="E21" s="46"/>
      <c r="F21" s="46"/>
      <c r="G21" s="46"/>
      <c r="H21" s="46"/>
      <c r="I21" s="46"/>
      <c r="J21" s="46"/>
      <c r="K21" s="46"/>
    </row>
    <row r="22" customFormat="false" ht="15" hidden="false" customHeight="false" outlineLevel="0" collapsed="false">
      <c r="A22" s="49" t="s">
        <v>203</v>
      </c>
      <c r="B22" s="55" t="n">
        <v>58.6685059626762</v>
      </c>
      <c r="C22" s="51" t="s">
        <v>200</v>
      </c>
      <c r="D22" s="51" t="s">
        <v>183</v>
      </c>
      <c r="E22" s="46"/>
      <c r="F22" s="46"/>
      <c r="G22" s="46"/>
      <c r="H22" s="46"/>
      <c r="I22" s="46"/>
      <c r="J22" s="46"/>
      <c r="K22" s="46"/>
    </row>
    <row r="23" customFormat="false" ht="15" hidden="false" customHeight="false" outlineLevel="0" collapsed="false">
      <c r="A23" s="49" t="s">
        <v>204</v>
      </c>
      <c r="B23" s="56" t="n">
        <v>10</v>
      </c>
      <c r="C23" s="51" t="s">
        <v>200</v>
      </c>
      <c r="D23" s="51" t="s">
        <v>205</v>
      </c>
      <c r="E23" s="46"/>
      <c r="F23" s="46"/>
      <c r="G23" s="46"/>
      <c r="H23" s="46"/>
      <c r="I23" s="46"/>
      <c r="J23" s="46"/>
      <c r="K23" s="46"/>
    </row>
    <row r="24" customFormat="false" ht="15" hidden="false" customHeight="false" outlineLevel="0" collapsed="false">
      <c r="A24" s="47" t="s">
        <v>206</v>
      </c>
      <c r="B24" s="48"/>
      <c r="C24" s="48"/>
      <c r="D24" s="48"/>
      <c r="E24" s="46"/>
      <c r="F24" s="46"/>
      <c r="G24" s="46"/>
      <c r="H24" s="46"/>
      <c r="I24" s="46"/>
      <c r="J24" s="46"/>
      <c r="K24" s="46"/>
    </row>
    <row r="25" customFormat="false" ht="15" hidden="false" customHeight="false" outlineLevel="0" collapsed="false">
      <c r="A25" s="57" t="s">
        <v>207</v>
      </c>
      <c r="B25" s="57" t="s">
        <v>31</v>
      </c>
      <c r="C25" s="57" t="s">
        <v>32</v>
      </c>
      <c r="D25" s="57" t="s">
        <v>33</v>
      </c>
      <c r="E25" s="46"/>
      <c r="F25" s="46"/>
      <c r="G25" s="46"/>
      <c r="H25" s="46"/>
      <c r="I25" s="46"/>
      <c r="J25" s="46"/>
      <c r="K25" s="46"/>
    </row>
    <row r="26" customFormat="false" ht="15" hidden="false" customHeight="false" outlineLevel="0" collapsed="false">
      <c r="A26" s="49" t="s">
        <v>117</v>
      </c>
      <c r="B26" s="56" t="n">
        <v>30</v>
      </c>
      <c r="C26" s="56" t="n">
        <v>100</v>
      </c>
      <c r="D26" s="56" t="n">
        <v>0</v>
      </c>
      <c r="E26" s="46"/>
      <c r="F26" s="46"/>
      <c r="G26" s="46"/>
      <c r="H26" s="46"/>
      <c r="I26" s="46"/>
      <c r="J26" s="46"/>
      <c r="K26" s="46"/>
    </row>
    <row r="27" customFormat="false" ht="15" hidden="false" customHeight="false" outlineLevel="0" collapsed="false">
      <c r="A27" s="49" t="s">
        <v>118</v>
      </c>
      <c r="B27" s="56" t="n">
        <v>0</v>
      </c>
      <c r="C27" s="56" t="n">
        <v>66.1</v>
      </c>
      <c r="D27" s="56" t="n">
        <v>53.9</v>
      </c>
      <c r="E27" s="46"/>
      <c r="F27" s="46"/>
      <c r="G27" s="46"/>
      <c r="H27" s="46"/>
      <c r="I27" s="46"/>
      <c r="J27" s="46"/>
      <c r="K27" s="46"/>
    </row>
    <row r="28" customFormat="false" ht="15" hidden="false" customHeight="false" outlineLevel="0" collapsed="false">
      <c r="A28" s="49" t="s">
        <v>119</v>
      </c>
      <c r="B28" s="56" t="n">
        <v>0</v>
      </c>
      <c r="C28" s="56" t="n">
        <v>44.2</v>
      </c>
      <c r="D28" s="56" t="n">
        <v>25.8</v>
      </c>
      <c r="E28" s="46"/>
      <c r="F28" s="46"/>
      <c r="G28" s="46"/>
      <c r="H28" s="46"/>
      <c r="I28" s="46"/>
      <c r="J28" s="46"/>
      <c r="K28" s="46"/>
    </row>
    <row r="29" customFormat="false" ht="15" hidden="false" customHeight="false" outlineLevel="0" collapsed="false">
      <c r="A29" s="49" t="s">
        <v>120</v>
      </c>
      <c r="B29" s="56" t="n">
        <v>2.7</v>
      </c>
      <c r="C29" s="56" t="n">
        <v>31.6</v>
      </c>
      <c r="D29" s="56" t="n">
        <v>30.8</v>
      </c>
      <c r="E29" s="46"/>
      <c r="F29" s="46"/>
      <c r="G29" s="46"/>
      <c r="H29" s="46"/>
      <c r="I29" s="46"/>
      <c r="J29" s="46"/>
      <c r="K29" s="46"/>
    </row>
    <row r="30" customFormat="false" ht="15" hidden="false" customHeight="false" outlineLevel="0" collapsed="false">
      <c r="A30" s="49" t="s">
        <v>208</v>
      </c>
      <c r="B30" s="56" t="n">
        <v>0</v>
      </c>
      <c r="C30" s="56" t="n">
        <v>0</v>
      </c>
      <c r="D30" s="56" t="n">
        <v>50</v>
      </c>
      <c r="E30" s="46"/>
      <c r="F30" s="46"/>
      <c r="G30" s="46"/>
      <c r="H30" s="46"/>
      <c r="I30" s="46"/>
      <c r="J30" s="46"/>
      <c r="K30" s="46"/>
    </row>
    <row r="31" customFormat="false" ht="15" hidden="false" customHeight="false" outlineLevel="0" collapsed="false">
      <c r="A31" s="49" t="s">
        <v>122</v>
      </c>
      <c r="B31" s="56" t="n">
        <v>0</v>
      </c>
      <c r="C31" s="56" t="n">
        <v>21.8</v>
      </c>
      <c r="D31" s="56" t="n">
        <v>38.2</v>
      </c>
      <c r="E31" s="46"/>
      <c r="F31" s="46"/>
      <c r="G31" s="46"/>
      <c r="H31" s="46"/>
      <c r="I31" s="46"/>
      <c r="J31" s="46"/>
      <c r="K31" s="46"/>
    </row>
    <row r="32" customFormat="false" ht="15" hidden="false" customHeight="false" outlineLevel="0" collapsed="false">
      <c r="A32" s="49" t="s">
        <v>123</v>
      </c>
      <c r="B32" s="56" t="n">
        <v>1.3</v>
      </c>
      <c r="C32" s="56" t="n">
        <v>7.4</v>
      </c>
      <c r="D32" s="56" t="n">
        <v>2.3</v>
      </c>
      <c r="E32" s="46"/>
      <c r="F32" s="46"/>
      <c r="G32" s="46"/>
      <c r="H32" s="46"/>
      <c r="I32" s="46"/>
      <c r="J32" s="46"/>
      <c r="K32" s="46"/>
    </row>
    <row r="33" customFormat="false" ht="15" hidden="false" customHeight="false" outlineLevel="0" collapsed="false">
      <c r="A33" s="49" t="s">
        <v>124</v>
      </c>
      <c r="B33" s="56" t="n">
        <v>0.8</v>
      </c>
      <c r="C33" s="56" t="n">
        <v>2</v>
      </c>
      <c r="D33" s="56" t="n">
        <v>1.2</v>
      </c>
      <c r="E33" s="46"/>
      <c r="F33" s="46"/>
      <c r="G33" s="46"/>
      <c r="H33" s="46"/>
      <c r="I33" s="46"/>
      <c r="J33" s="46"/>
      <c r="K33" s="46"/>
    </row>
    <row r="34" customFormat="false" ht="15" hidden="false" customHeight="false" outlineLevel="0" collapsed="false">
      <c r="A34" s="49" t="s">
        <v>125</v>
      </c>
      <c r="B34" s="56" t="n">
        <v>11.8</v>
      </c>
      <c r="C34" s="56" t="n">
        <v>3.2</v>
      </c>
      <c r="D34" s="56" t="n">
        <v>0</v>
      </c>
      <c r="E34" s="46"/>
      <c r="F34" s="46"/>
      <c r="G34" s="46"/>
      <c r="H34" s="46"/>
      <c r="I34" s="46"/>
      <c r="J34" s="46"/>
      <c r="K34" s="46"/>
    </row>
    <row r="35" customFormat="false" ht="15" hidden="false" customHeight="false" outlineLevel="0" collapsed="false">
      <c r="A35" s="49" t="s">
        <v>126</v>
      </c>
      <c r="B35" s="56" t="n">
        <v>1.7</v>
      </c>
      <c r="C35" s="56" t="n">
        <v>4</v>
      </c>
      <c r="D35" s="56" t="n">
        <v>2.3</v>
      </c>
      <c r="E35" s="46"/>
      <c r="F35" s="46"/>
      <c r="G35" s="46"/>
      <c r="H35" s="46"/>
      <c r="I35" s="46"/>
      <c r="J35" s="46"/>
      <c r="K35" s="46"/>
    </row>
    <row r="36" customFormat="false" ht="15" hidden="false" customHeight="false" outlineLevel="0" collapsed="false">
      <c r="A36" s="49" t="s">
        <v>127</v>
      </c>
      <c r="B36" s="56" t="n">
        <v>4.2</v>
      </c>
      <c r="C36" s="56" t="n">
        <v>0.8</v>
      </c>
      <c r="D36" s="56" t="n">
        <v>0</v>
      </c>
      <c r="E36" s="46"/>
      <c r="F36" s="46"/>
      <c r="G36" s="46"/>
      <c r="H36" s="46"/>
      <c r="I36" s="46"/>
      <c r="J36" s="46"/>
      <c r="K36" s="46"/>
    </row>
    <row r="37" customFormat="false" ht="15" hidden="false" customHeight="false" outlineLevel="0" collapsed="false">
      <c r="A37" s="49" t="s">
        <v>128</v>
      </c>
      <c r="B37" s="56" t="n">
        <v>0</v>
      </c>
      <c r="C37" s="56" t="n">
        <v>0.8</v>
      </c>
      <c r="D37" s="56" t="n">
        <v>6.2</v>
      </c>
      <c r="E37" s="46"/>
      <c r="F37" s="46"/>
      <c r="G37" s="46"/>
      <c r="H37" s="46"/>
      <c r="I37" s="46"/>
      <c r="J37" s="46"/>
      <c r="K37" s="46"/>
    </row>
    <row r="38" customFormat="false" ht="15" hidden="false" customHeight="false" outlineLevel="0" collapsed="false">
      <c r="A38" s="49" t="s">
        <v>129</v>
      </c>
      <c r="B38" s="56" t="n">
        <v>0.9</v>
      </c>
      <c r="C38" s="56" t="n">
        <v>2.2</v>
      </c>
      <c r="D38" s="56" t="n">
        <v>1.9</v>
      </c>
      <c r="E38" s="46"/>
      <c r="F38" s="46"/>
      <c r="G38" s="46"/>
      <c r="H38" s="46"/>
      <c r="I38" s="46"/>
      <c r="J38" s="46"/>
      <c r="K38" s="46"/>
    </row>
    <row r="39" customFormat="false" ht="15" hidden="false" customHeight="false" outlineLevel="0" collapsed="false">
      <c r="A39" s="57" t="s">
        <v>209</v>
      </c>
      <c r="B39" s="58" t="n">
        <f aca="false">SUM(B26:B38)</f>
        <v>53.4</v>
      </c>
      <c r="C39" s="58" t="n">
        <f aca="false">SUM(C26:C38)</f>
        <v>284.1</v>
      </c>
      <c r="D39" s="58" t="n">
        <f aca="false">SUM(D26:D38)</f>
        <v>212.6</v>
      </c>
      <c r="E39" s="58" t="n">
        <f aca="false">SUM(B39:D39)</f>
        <v>550.1</v>
      </c>
      <c r="F39" s="51" t="s">
        <v>210</v>
      </c>
      <c r="G39" s="46"/>
      <c r="H39" s="46"/>
      <c r="I39" s="46"/>
      <c r="J39" s="46"/>
      <c r="K39" s="46"/>
    </row>
    <row r="40" customFormat="false" ht="15" hidden="false" customHeight="false" outlineLevel="0" collapsed="false">
      <c r="A40" s="49" t="s">
        <v>211</v>
      </c>
      <c r="B40" s="56" t="n">
        <v>71.7</v>
      </c>
      <c r="C40" s="51" t="s">
        <v>200</v>
      </c>
      <c r="D40" s="51" t="s">
        <v>212</v>
      </c>
      <c r="E40" s="46"/>
      <c r="F40" s="46"/>
      <c r="G40" s="46"/>
      <c r="H40" s="46"/>
      <c r="I40" s="46"/>
      <c r="J40" s="46"/>
      <c r="K40" s="46"/>
    </row>
    <row r="41" customFormat="false" ht="15" hidden="false" customHeight="false" outlineLevel="0" collapsed="false">
      <c r="A41" s="47" t="s">
        <v>213</v>
      </c>
      <c r="B41" s="48"/>
      <c r="C41" s="48"/>
      <c r="D41" s="48"/>
      <c r="E41" s="46"/>
      <c r="F41" s="46"/>
      <c r="G41" s="46"/>
      <c r="H41" s="46"/>
      <c r="I41" s="46"/>
      <c r="J41" s="46"/>
      <c r="K41" s="46"/>
    </row>
    <row r="42" customFormat="false" ht="15" hidden="false" customHeight="false" outlineLevel="0" collapsed="false">
      <c r="A42" s="49" t="s">
        <v>214</v>
      </c>
      <c r="B42" s="56" t="n">
        <v>36.4</v>
      </c>
      <c r="C42" s="51" t="s">
        <v>200</v>
      </c>
      <c r="D42" s="51" t="s">
        <v>215</v>
      </c>
      <c r="E42" s="46"/>
      <c r="F42" s="46"/>
      <c r="G42" s="46"/>
      <c r="H42" s="46"/>
      <c r="I42" s="46"/>
      <c r="J42" s="46"/>
      <c r="K42" s="46"/>
    </row>
    <row r="43" customFormat="false" ht="15" hidden="false" customHeight="false" outlineLevel="0" collapsed="false">
      <c r="A43" s="49" t="s">
        <v>216</v>
      </c>
      <c r="B43" s="53" t="n">
        <v>0.5</v>
      </c>
      <c r="C43" s="51" t="s">
        <v>180</v>
      </c>
      <c r="D43" s="51" t="s">
        <v>217</v>
      </c>
      <c r="E43" s="46"/>
      <c r="F43" s="46"/>
      <c r="G43" s="46"/>
      <c r="H43" s="46"/>
      <c r="I43" s="46"/>
      <c r="J43" s="46"/>
      <c r="K43" s="46"/>
    </row>
    <row r="44" customFormat="false" ht="15" hidden="false" customHeight="false" outlineLevel="0" collapsed="false">
      <c r="A44" s="49" t="s">
        <v>218</v>
      </c>
      <c r="B44" s="53" t="n">
        <v>0.136</v>
      </c>
      <c r="C44" s="51" t="s">
        <v>180</v>
      </c>
      <c r="D44" s="51" t="s">
        <v>219</v>
      </c>
      <c r="E44" s="46"/>
      <c r="F44" s="46"/>
      <c r="G44" s="46"/>
      <c r="H44" s="46"/>
      <c r="I44" s="46"/>
      <c r="J44" s="46"/>
      <c r="K44" s="46"/>
    </row>
    <row r="45" customFormat="false" ht="15" hidden="false" customHeight="false" outlineLevel="0" collapsed="false">
      <c r="A45" s="49" t="s">
        <v>220</v>
      </c>
      <c r="B45" s="56" t="n">
        <v>39.66</v>
      </c>
      <c r="C45" s="51" t="s">
        <v>200</v>
      </c>
      <c r="D45" s="51" t="s">
        <v>221</v>
      </c>
      <c r="E45" s="46"/>
      <c r="F45" s="46"/>
      <c r="G45" s="46"/>
      <c r="H45" s="46"/>
      <c r="I45" s="46"/>
      <c r="J45" s="46"/>
      <c r="K45" s="46"/>
    </row>
    <row r="46" customFormat="false" ht="15" hidden="false" customHeight="false" outlineLevel="0" collapsed="false">
      <c r="A46" s="49" t="s">
        <v>216</v>
      </c>
      <c r="B46" s="53" t="n">
        <v>0.5</v>
      </c>
      <c r="C46" s="51" t="s">
        <v>180</v>
      </c>
      <c r="D46" s="51" t="s">
        <v>217</v>
      </c>
      <c r="E46" s="46"/>
      <c r="F46" s="46"/>
      <c r="G46" s="46"/>
      <c r="H46" s="46"/>
      <c r="I46" s="46"/>
      <c r="J46" s="46"/>
      <c r="K46" s="46"/>
    </row>
    <row r="47" customFormat="false" ht="15" hidden="false" customHeight="false" outlineLevel="0" collapsed="false">
      <c r="A47" s="49" t="s">
        <v>222</v>
      </c>
      <c r="B47" s="53" t="n">
        <v>0.5</v>
      </c>
      <c r="C47" s="51" t="s">
        <v>180</v>
      </c>
      <c r="D47" s="51" t="s">
        <v>223</v>
      </c>
      <c r="E47" s="46"/>
      <c r="F47" s="46"/>
      <c r="G47" s="46"/>
      <c r="H47" s="46"/>
      <c r="I47" s="46"/>
      <c r="J47" s="46"/>
      <c r="K47" s="46"/>
    </row>
    <row r="48" customFormat="false" ht="15" hidden="false" customHeight="false" outlineLevel="0" collapsed="false">
      <c r="A48" s="49" t="s">
        <v>224</v>
      </c>
      <c r="B48" s="56" t="n">
        <v>15</v>
      </c>
      <c r="C48" s="51" t="s">
        <v>200</v>
      </c>
      <c r="D48" s="51" t="s">
        <v>225</v>
      </c>
      <c r="E48" s="46"/>
      <c r="F48" s="46"/>
      <c r="G48" s="46"/>
      <c r="H48" s="46"/>
      <c r="I48" s="46"/>
      <c r="J48" s="46"/>
      <c r="K48" s="46"/>
    </row>
    <row r="49" customFormat="false" ht="15" hidden="false" customHeight="false" outlineLevel="0" collapsed="false">
      <c r="A49" s="49" t="s">
        <v>226</v>
      </c>
      <c r="B49" s="53" t="n">
        <v>0.3333</v>
      </c>
      <c r="C49" s="51" t="s">
        <v>180</v>
      </c>
      <c r="D49" s="51" t="s">
        <v>227</v>
      </c>
      <c r="E49" s="46"/>
      <c r="F49" s="46"/>
      <c r="G49" s="46"/>
      <c r="H49" s="46"/>
      <c r="I49" s="46"/>
      <c r="J49" s="46"/>
      <c r="K49" s="46"/>
    </row>
    <row r="50" customFormat="false" ht="15" hidden="false" customHeight="false" outlineLevel="0" collapsed="false">
      <c r="A50" s="47" t="s">
        <v>228</v>
      </c>
      <c r="B50" s="48"/>
      <c r="C50" s="48"/>
      <c r="D50" s="48"/>
      <c r="E50" s="46"/>
      <c r="F50" s="46"/>
      <c r="G50" s="46"/>
      <c r="H50" s="46"/>
      <c r="I50" s="46"/>
      <c r="J50" s="46"/>
      <c r="K50" s="46"/>
    </row>
    <row r="51" customFormat="false" ht="15" hidden="false" customHeight="false" outlineLevel="0" collapsed="false">
      <c r="A51" s="49" t="s">
        <v>229</v>
      </c>
      <c r="B51" s="59" t="n">
        <v>2028</v>
      </c>
      <c r="C51" s="51" t="s">
        <v>230</v>
      </c>
      <c r="D51" s="51" t="s">
        <v>231</v>
      </c>
      <c r="E51" s="46"/>
      <c r="F51" s="46"/>
      <c r="G51" s="46"/>
      <c r="H51" s="46"/>
      <c r="I51" s="46"/>
      <c r="J51" s="46"/>
      <c r="K51" s="46"/>
    </row>
    <row r="52" customFormat="false" ht="15" hidden="false" customHeight="false" outlineLevel="0" collapsed="false">
      <c r="A52" s="49" t="s">
        <v>232</v>
      </c>
      <c r="B52" s="53" t="n">
        <v>0.25</v>
      </c>
      <c r="C52" s="51" t="s">
        <v>180</v>
      </c>
      <c r="D52" s="51" t="s">
        <v>233</v>
      </c>
      <c r="E52" s="46"/>
      <c r="F52" s="46"/>
      <c r="G52" s="46"/>
      <c r="H52" s="46"/>
      <c r="I52" s="46"/>
      <c r="J52" s="46"/>
      <c r="K52" s="46"/>
    </row>
    <row r="53" customFormat="false" ht="15" hidden="false" customHeight="false" outlineLevel="0" collapsed="false">
      <c r="A53" s="49" t="s">
        <v>234</v>
      </c>
      <c r="B53" s="59" t="n">
        <v>2029</v>
      </c>
      <c r="C53" s="51" t="s">
        <v>230</v>
      </c>
      <c r="D53" s="51" t="s">
        <v>235</v>
      </c>
      <c r="E53" s="46"/>
      <c r="F53" s="46"/>
      <c r="G53" s="46"/>
      <c r="H53" s="46"/>
      <c r="I53" s="46"/>
      <c r="J53" s="46"/>
      <c r="K53" s="46"/>
    </row>
    <row r="54" customFormat="false" ht="15" hidden="false" customHeight="false" outlineLevel="0" collapsed="false">
      <c r="A54" s="49" t="s">
        <v>236</v>
      </c>
      <c r="B54" s="53" t="n">
        <v>0.5</v>
      </c>
      <c r="C54" s="51" t="s">
        <v>180</v>
      </c>
      <c r="D54" s="51" t="s">
        <v>237</v>
      </c>
      <c r="E54" s="46"/>
      <c r="F54" s="46"/>
      <c r="G54" s="46"/>
      <c r="H54" s="46"/>
      <c r="I54" s="46"/>
      <c r="J54" s="46"/>
      <c r="K54" s="46"/>
    </row>
    <row r="55" customFormat="false" ht="15" hidden="false" customHeight="false" outlineLevel="0" collapsed="false">
      <c r="A55" s="49" t="s">
        <v>238</v>
      </c>
      <c r="B55" s="59" t="n">
        <v>2074</v>
      </c>
      <c r="C55" s="51" t="s">
        <v>230</v>
      </c>
      <c r="D55" s="51" t="s">
        <v>239</v>
      </c>
      <c r="E55" s="46"/>
      <c r="F55" s="46"/>
      <c r="G55" s="46"/>
      <c r="H55" s="46"/>
      <c r="I55" s="46"/>
      <c r="J55" s="46"/>
      <c r="K55" s="46"/>
    </row>
    <row r="56" customFormat="false" ht="15" hidden="false" customHeight="false" outlineLevel="0" collapsed="false">
      <c r="A56" s="47" t="s">
        <v>240</v>
      </c>
      <c r="B56" s="48"/>
      <c r="C56" s="48"/>
      <c r="D56" s="48"/>
      <c r="E56" s="46"/>
      <c r="F56" s="46"/>
      <c r="G56" s="46"/>
      <c r="H56" s="46"/>
      <c r="I56" s="46"/>
      <c r="J56" s="46"/>
      <c r="K56" s="46"/>
    </row>
    <row r="57" customFormat="false" ht="15" hidden="false" customHeight="false" outlineLevel="0" collapsed="false">
      <c r="A57" s="49" t="s">
        <v>47</v>
      </c>
      <c r="B57" s="60" t="n">
        <v>600</v>
      </c>
      <c r="C57" s="51" t="s">
        <v>241</v>
      </c>
      <c r="D57" s="51" t="s">
        <v>242</v>
      </c>
      <c r="E57" s="46"/>
      <c r="F57" s="46"/>
      <c r="G57" s="46"/>
      <c r="H57" s="46"/>
      <c r="I57" s="46"/>
      <c r="J57" s="46"/>
      <c r="K57" s="46"/>
    </row>
    <row r="58" customFormat="false" ht="15" hidden="false" customHeight="false" outlineLevel="0" collapsed="false">
      <c r="A58" s="49" t="s">
        <v>243</v>
      </c>
      <c r="B58" s="60" t="n">
        <v>4</v>
      </c>
      <c r="C58" s="51" t="s">
        <v>244</v>
      </c>
      <c r="D58" s="51" t="s">
        <v>245</v>
      </c>
      <c r="E58" s="46"/>
      <c r="F58" s="46"/>
      <c r="G58" s="46"/>
      <c r="H58" s="46"/>
      <c r="I58" s="46"/>
      <c r="J58" s="46"/>
      <c r="K58" s="46"/>
    </row>
    <row r="59" customFormat="false" ht="15" hidden="false" customHeight="false" outlineLevel="0" collapsed="false">
      <c r="A59" s="49" t="s">
        <v>246</v>
      </c>
      <c r="B59" s="60" t="n">
        <v>850</v>
      </c>
      <c r="C59" s="51" t="s">
        <v>247</v>
      </c>
      <c r="D59" s="51" t="s">
        <v>245</v>
      </c>
      <c r="E59" s="46"/>
      <c r="F59" s="46"/>
      <c r="G59" s="46"/>
      <c r="H59" s="46"/>
      <c r="I59" s="46"/>
      <c r="J59" s="46"/>
      <c r="K59" s="46"/>
    </row>
    <row r="60" customFormat="false" ht="15" hidden="false" customHeight="false" outlineLevel="0" collapsed="false">
      <c r="A60" s="49" t="s">
        <v>248</v>
      </c>
      <c r="B60" s="60" t="n">
        <v>450</v>
      </c>
      <c r="C60" s="51" t="s">
        <v>247</v>
      </c>
      <c r="D60" s="51" t="s">
        <v>245</v>
      </c>
      <c r="E60" s="46"/>
      <c r="F60" s="46"/>
      <c r="G60" s="46"/>
      <c r="H60" s="46"/>
      <c r="I60" s="46"/>
      <c r="J60" s="46"/>
      <c r="K60" s="46"/>
    </row>
    <row r="61" customFormat="false" ht="15" hidden="false" customHeight="false" outlineLevel="0" collapsed="false">
      <c r="A61" s="49" t="s">
        <v>249</v>
      </c>
      <c r="B61" s="53" t="n">
        <v>0.85</v>
      </c>
      <c r="C61" s="51" t="s">
        <v>180</v>
      </c>
      <c r="D61" s="51" t="s">
        <v>245</v>
      </c>
      <c r="E61" s="46"/>
      <c r="F61" s="46"/>
      <c r="G61" s="46"/>
      <c r="H61" s="46"/>
      <c r="I61" s="46"/>
      <c r="J61" s="46"/>
      <c r="K61" s="46"/>
    </row>
    <row r="62" customFormat="false" ht="15" hidden="false" customHeight="false" outlineLevel="0" collapsed="false">
      <c r="A62" s="49" t="s">
        <v>250</v>
      </c>
      <c r="B62" s="53" t="n">
        <v>0.5</v>
      </c>
      <c r="C62" s="51" t="s">
        <v>180</v>
      </c>
      <c r="D62" s="51" t="s">
        <v>245</v>
      </c>
      <c r="E62" s="46"/>
      <c r="F62" s="46"/>
      <c r="G62" s="46"/>
      <c r="H62" s="46"/>
      <c r="I62" s="46"/>
      <c r="J62" s="46"/>
      <c r="K62" s="46"/>
    </row>
    <row r="63" customFormat="false" ht="15" hidden="false" customHeight="false" outlineLevel="0" collapsed="false">
      <c r="A63" s="49" t="s">
        <v>251</v>
      </c>
      <c r="B63" s="53" t="n">
        <v>0.834</v>
      </c>
      <c r="C63" s="51" t="s">
        <v>180</v>
      </c>
      <c r="D63" s="51" t="s">
        <v>252</v>
      </c>
      <c r="E63" s="46"/>
      <c r="F63" s="46"/>
      <c r="G63" s="46"/>
      <c r="H63" s="46"/>
      <c r="I63" s="46"/>
      <c r="J63" s="46"/>
      <c r="K63" s="46"/>
    </row>
    <row r="64" customFormat="false" ht="15" hidden="false" customHeight="false" outlineLevel="0" collapsed="false">
      <c r="A64" s="49" t="s">
        <v>253</v>
      </c>
      <c r="B64" s="53" t="n">
        <v>0.0221</v>
      </c>
      <c r="C64" s="51" t="s">
        <v>180</v>
      </c>
      <c r="D64" s="51" t="s">
        <v>254</v>
      </c>
      <c r="E64" s="46"/>
      <c r="F64" s="46"/>
      <c r="G64" s="46"/>
      <c r="H64" s="46"/>
      <c r="I64" s="46"/>
      <c r="J64" s="46"/>
      <c r="K64" s="46"/>
    </row>
    <row r="65" customFormat="false" ht="15" hidden="false" customHeight="false" outlineLevel="0" collapsed="false">
      <c r="A65" s="49" t="s">
        <v>255</v>
      </c>
      <c r="B65" s="53" t="n">
        <v>0.905</v>
      </c>
      <c r="C65" s="51" t="s">
        <v>180</v>
      </c>
      <c r="D65" s="51" t="s">
        <v>256</v>
      </c>
      <c r="E65" s="46"/>
      <c r="F65" s="46"/>
      <c r="G65" s="46"/>
      <c r="H65" s="46"/>
      <c r="I65" s="46"/>
      <c r="J65" s="46"/>
      <c r="K65" s="46"/>
    </row>
    <row r="66" customFormat="false" ht="15" hidden="false" customHeight="false" outlineLevel="0" collapsed="false">
      <c r="A66" s="49" t="s">
        <v>257</v>
      </c>
      <c r="B66" s="53" t="n">
        <v>0.952</v>
      </c>
      <c r="C66" s="51" t="s">
        <v>180</v>
      </c>
      <c r="D66" s="51" t="s">
        <v>258</v>
      </c>
      <c r="E66" s="46"/>
      <c r="F66" s="46"/>
      <c r="G66" s="46"/>
      <c r="H66" s="46"/>
      <c r="I66" s="46"/>
      <c r="J66" s="46"/>
      <c r="K66" s="46"/>
    </row>
    <row r="67" customFormat="false" ht="15" hidden="false" customHeight="false" outlineLevel="0" collapsed="false">
      <c r="A67" s="49" t="s">
        <v>259</v>
      </c>
      <c r="B67" s="53" t="n">
        <v>0.442</v>
      </c>
      <c r="C67" s="51" t="s">
        <v>180</v>
      </c>
      <c r="D67" s="51" t="s">
        <v>260</v>
      </c>
      <c r="E67" s="46"/>
      <c r="F67" s="46"/>
      <c r="G67" s="46"/>
      <c r="H67" s="46"/>
      <c r="I67" s="46"/>
      <c r="J67" s="46"/>
      <c r="K67" s="46"/>
    </row>
    <row r="68" customFormat="false" ht="15" hidden="false" customHeight="false" outlineLevel="0" collapsed="false">
      <c r="A68" s="49" t="s">
        <v>261</v>
      </c>
      <c r="B68" s="53" t="n">
        <v>0.461</v>
      </c>
      <c r="C68" s="51" t="s">
        <v>180</v>
      </c>
      <c r="D68" s="51" t="s">
        <v>260</v>
      </c>
      <c r="E68" s="46"/>
      <c r="F68" s="46"/>
      <c r="G68" s="46"/>
      <c r="H68" s="46"/>
      <c r="I68" s="46"/>
      <c r="J68" s="46"/>
      <c r="K68" s="46"/>
    </row>
    <row r="69" customFormat="false" ht="15" hidden="false" customHeight="false" outlineLevel="0" collapsed="false">
      <c r="A69" s="49" t="s">
        <v>262</v>
      </c>
      <c r="B69" s="53" t="n">
        <v>0.474</v>
      </c>
      <c r="C69" s="51" t="s">
        <v>180</v>
      </c>
      <c r="D69" s="51" t="s">
        <v>260</v>
      </c>
      <c r="E69" s="46"/>
      <c r="F69" s="46"/>
      <c r="G69" s="46"/>
      <c r="H69" s="46"/>
      <c r="I69" s="46"/>
      <c r="J69" s="46"/>
      <c r="K69" s="46"/>
    </row>
    <row r="70" customFormat="false" ht="15" hidden="false" customHeight="false" outlineLevel="0" collapsed="false">
      <c r="A70" s="49" t="s">
        <v>263</v>
      </c>
      <c r="B70" s="53" t="n">
        <v>0.03</v>
      </c>
      <c r="C70" s="51" t="s">
        <v>180</v>
      </c>
      <c r="D70" s="51" t="s">
        <v>264</v>
      </c>
      <c r="E70" s="46"/>
      <c r="F70" s="46"/>
      <c r="G70" s="46"/>
      <c r="H70" s="46"/>
      <c r="I70" s="46"/>
      <c r="J70" s="46"/>
      <c r="K70" s="46"/>
    </row>
    <row r="71" customFormat="false" ht="15" hidden="false" customHeight="false" outlineLevel="0" collapsed="false">
      <c r="A71" s="49" t="s">
        <v>265</v>
      </c>
      <c r="B71" s="53" t="n">
        <v>0.08</v>
      </c>
      <c r="C71" s="51" t="s">
        <v>180</v>
      </c>
      <c r="D71" s="51" t="s">
        <v>264</v>
      </c>
      <c r="E71" s="46"/>
      <c r="F71" s="46"/>
      <c r="G71" s="46"/>
      <c r="H71" s="46"/>
      <c r="I71" s="46"/>
      <c r="J71" s="46"/>
      <c r="K71" s="46"/>
    </row>
    <row r="72" customFormat="false" ht="15" hidden="false" customHeight="false" outlineLevel="0" collapsed="false">
      <c r="A72" s="49" t="s">
        <v>266</v>
      </c>
      <c r="B72" s="53" t="n">
        <v>0.04</v>
      </c>
      <c r="C72" s="51" t="s">
        <v>180</v>
      </c>
      <c r="D72" s="51" t="s">
        <v>264</v>
      </c>
      <c r="E72" s="46"/>
      <c r="F72" s="46"/>
      <c r="G72" s="46"/>
      <c r="H72" s="46"/>
      <c r="I72" s="46"/>
      <c r="J72" s="46"/>
      <c r="K72" s="46"/>
    </row>
    <row r="73" customFormat="false" ht="15" hidden="false" customHeight="false" outlineLevel="0" collapsed="false">
      <c r="A73" s="47" t="s">
        <v>267</v>
      </c>
      <c r="B73" s="48"/>
      <c r="C73" s="48"/>
      <c r="D73" s="48"/>
      <c r="E73" s="46"/>
      <c r="F73" s="46"/>
      <c r="G73" s="46"/>
      <c r="H73" s="46"/>
      <c r="I73" s="46"/>
      <c r="J73" s="46"/>
      <c r="K73" s="46"/>
    </row>
    <row r="74" customFormat="false" ht="15" hidden="false" customHeight="false" outlineLevel="0" collapsed="false">
      <c r="A74" s="49" t="s">
        <v>268</v>
      </c>
      <c r="B74" s="56" t="n">
        <v>78.93</v>
      </c>
      <c r="C74" s="51" t="s">
        <v>200</v>
      </c>
      <c r="D74" s="51" t="s">
        <v>269</v>
      </c>
      <c r="E74" s="46"/>
      <c r="F74" s="46"/>
      <c r="G74" s="46"/>
      <c r="H74" s="46"/>
      <c r="I74" s="46"/>
      <c r="J74" s="46"/>
      <c r="K74" s="46"/>
    </row>
    <row r="75" customFormat="false" ht="15" hidden="false" customHeight="false" outlineLevel="0" collapsed="false">
      <c r="A75" s="49" t="s">
        <v>270</v>
      </c>
      <c r="B75" s="56" t="n">
        <v>86.54</v>
      </c>
      <c r="C75" s="51" t="s">
        <v>200</v>
      </c>
      <c r="D75" s="51" t="s">
        <v>269</v>
      </c>
      <c r="E75" s="46"/>
      <c r="F75" s="46"/>
      <c r="G75" s="46"/>
      <c r="H75" s="46"/>
      <c r="I75" s="46"/>
      <c r="J75" s="46"/>
      <c r="K75" s="46"/>
    </row>
    <row r="76" customFormat="false" ht="15" hidden="false" customHeight="false" outlineLevel="0" collapsed="false">
      <c r="A76" s="49" t="s">
        <v>271</v>
      </c>
      <c r="B76" s="56" t="n">
        <v>90.42</v>
      </c>
      <c r="C76" s="51" t="s">
        <v>200</v>
      </c>
      <c r="D76" s="51" t="s">
        <v>269</v>
      </c>
      <c r="E76" s="46"/>
      <c r="F76" s="46"/>
      <c r="G76" s="46"/>
      <c r="H76" s="46"/>
      <c r="I76" s="46"/>
      <c r="J76" s="46"/>
      <c r="K76" s="46"/>
    </row>
    <row r="77" customFormat="false" ht="15" hidden="false" customHeight="false" outlineLevel="0" collapsed="false">
      <c r="A77" s="49" t="s">
        <v>272</v>
      </c>
      <c r="B77" s="56" t="n">
        <v>94.34</v>
      </c>
      <c r="C77" s="51" t="s">
        <v>200</v>
      </c>
      <c r="D77" s="51" t="s">
        <v>269</v>
      </c>
      <c r="E77" s="46"/>
      <c r="F77" s="46"/>
      <c r="G77" s="46"/>
      <c r="H77" s="46"/>
      <c r="I77" s="46"/>
      <c r="J77" s="46"/>
      <c r="K77" s="46"/>
    </row>
    <row r="78" customFormat="false" ht="15" hidden="false" customHeight="false" outlineLevel="0" collapsed="false">
      <c r="A78" s="49" t="s">
        <v>273</v>
      </c>
      <c r="B78" s="56" t="n">
        <v>104.9</v>
      </c>
      <c r="C78" s="51" t="s">
        <v>200</v>
      </c>
      <c r="D78" s="51" t="s">
        <v>269</v>
      </c>
      <c r="E78" s="46"/>
      <c r="F78" s="46"/>
      <c r="G78" s="46"/>
      <c r="H78" s="46"/>
      <c r="I78" s="46"/>
      <c r="J78" s="46"/>
      <c r="K78" s="46"/>
    </row>
    <row r="79" customFormat="false" ht="15" hidden="false" customHeight="false" outlineLevel="0" collapsed="false">
      <c r="A79" s="49" t="s">
        <v>274</v>
      </c>
      <c r="B79" s="56" t="n">
        <v>111.25</v>
      </c>
      <c r="C79" s="51" t="s">
        <v>200</v>
      </c>
      <c r="D79" s="51" t="s">
        <v>269</v>
      </c>
      <c r="E79" s="46"/>
      <c r="F79" s="46"/>
      <c r="G79" s="46"/>
      <c r="H79" s="46"/>
      <c r="I79" s="46"/>
      <c r="J79" s="46"/>
      <c r="K79" s="46"/>
    </row>
    <row r="80" customFormat="false" ht="15" hidden="false" customHeight="false" outlineLevel="0" collapsed="false">
      <c r="A80" s="49" t="s">
        <v>275</v>
      </c>
      <c r="B80" s="56" t="n">
        <v>118.05</v>
      </c>
      <c r="C80" s="51" t="s">
        <v>200</v>
      </c>
      <c r="D80" s="51" t="s">
        <v>269</v>
      </c>
      <c r="E80" s="46"/>
      <c r="F80" s="46"/>
      <c r="G80" s="46"/>
      <c r="H80" s="46"/>
      <c r="I80" s="46"/>
      <c r="J80" s="46"/>
      <c r="K80" s="46"/>
    </row>
    <row r="81" customFormat="false" ht="15" hidden="false" customHeight="false" outlineLevel="0" collapsed="false">
      <c r="A81" s="49" t="s">
        <v>276</v>
      </c>
      <c r="B81" s="56" t="n">
        <v>131.42</v>
      </c>
      <c r="C81" s="51" t="s">
        <v>200</v>
      </c>
      <c r="D81" s="51" t="s">
        <v>269</v>
      </c>
      <c r="E81" s="46"/>
      <c r="F81" s="46"/>
      <c r="G81" s="46"/>
      <c r="H81" s="46"/>
      <c r="I81" s="46"/>
      <c r="J81" s="46"/>
      <c r="K81" s="46"/>
    </row>
    <row r="82" customFormat="false" ht="15" hidden="false" customHeight="false" outlineLevel="0" collapsed="false">
      <c r="A82" s="49" t="s">
        <v>277</v>
      </c>
      <c r="B82" s="56" t="n">
        <v>138.21</v>
      </c>
      <c r="C82" s="51" t="s">
        <v>200</v>
      </c>
      <c r="D82" s="51" t="s">
        <v>269</v>
      </c>
      <c r="E82" s="46"/>
      <c r="F82" s="46"/>
      <c r="G82" s="46"/>
      <c r="H82" s="46"/>
      <c r="I82" s="46"/>
      <c r="J82" s="46"/>
      <c r="K82" s="46"/>
    </row>
    <row r="83" customFormat="false" ht="15" hidden="false" customHeight="false" outlineLevel="0" collapsed="false">
      <c r="A83" s="49" t="s">
        <v>278</v>
      </c>
      <c r="B83" s="56" t="n">
        <v>145.38</v>
      </c>
      <c r="C83" s="51" t="s">
        <v>200</v>
      </c>
      <c r="D83" s="51" t="s">
        <v>269</v>
      </c>
      <c r="E83" s="46"/>
      <c r="F83" s="46"/>
      <c r="G83" s="46"/>
      <c r="H83" s="46"/>
      <c r="I83" s="46"/>
      <c r="J83" s="46"/>
      <c r="K83" s="46"/>
    </row>
    <row r="84" customFormat="false" ht="15" hidden="false" customHeight="false" outlineLevel="0" collapsed="false">
      <c r="A84" s="49" t="s">
        <v>279</v>
      </c>
      <c r="B84" s="56" t="n">
        <v>159.79</v>
      </c>
      <c r="C84" s="51" t="s">
        <v>200</v>
      </c>
      <c r="D84" s="51" t="s">
        <v>269</v>
      </c>
      <c r="E84" s="46"/>
      <c r="F84" s="46"/>
      <c r="G84" s="46"/>
      <c r="H84" s="46"/>
      <c r="I84" s="46"/>
      <c r="J84" s="46"/>
      <c r="K84" s="46"/>
    </row>
    <row r="85" customFormat="false" ht="15" hidden="false" customHeight="false" outlineLevel="0" collapsed="false">
      <c r="A85" s="49" t="s">
        <v>280</v>
      </c>
      <c r="B85" s="56" t="n">
        <v>167.46</v>
      </c>
      <c r="C85" s="51" t="s">
        <v>200</v>
      </c>
      <c r="D85" s="51" t="s">
        <v>269</v>
      </c>
      <c r="E85" s="46"/>
      <c r="F85" s="46"/>
      <c r="G85" s="46"/>
      <c r="H85" s="46"/>
      <c r="I85" s="46"/>
      <c r="J85" s="46"/>
      <c r="K85" s="46"/>
    </row>
    <row r="86" customFormat="false" ht="15" hidden="false" customHeight="false" outlineLevel="0" collapsed="false">
      <c r="A86" s="49" t="s">
        <v>281</v>
      </c>
      <c r="B86" s="56" t="n">
        <v>175.52</v>
      </c>
      <c r="C86" s="51" t="s">
        <v>200</v>
      </c>
      <c r="D86" s="51" t="s">
        <v>269</v>
      </c>
      <c r="E86" s="46"/>
      <c r="F86" s="46"/>
      <c r="G86" s="46"/>
      <c r="H86" s="46"/>
      <c r="I86" s="46"/>
      <c r="J86" s="46"/>
      <c r="K86" s="46"/>
    </row>
    <row r="87" customFormat="false" ht="15" hidden="false" customHeight="false" outlineLevel="0" collapsed="false">
      <c r="A87" s="49" t="s">
        <v>282</v>
      </c>
      <c r="B87" s="53" t="n">
        <v>0.025</v>
      </c>
      <c r="C87" s="51" t="s">
        <v>180</v>
      </c>
      <c r="D87" s="51" t="s">
        <v>283</v>
      </c>
      <c r="E87" s="46"/>
      <c r="F87" s="46"/>
      <c r="G87" s="46"/>
      <c r="H87" s="46"/>
      <c r="I87" s="46"/>
      <c r="J87" s="46"/>
      <c r="K87" s="46"/>
    </row>
    <row r="88" customFormat="false" ht="15" hidden="false" customHeight="false" outlineLevel="0" collapsed="false">
      <c r="A88" s="49" t="s">
        <v>284</v>
      </c>
      <c r="B88" s="54" t="n">
        <v>2</v>
      </c>
      <c r="C88" s="51" t="s">
        <v>285</v>
      </c>
      <c r="D88" s="51" t="s">
        <v>286</v>
      </c>
      <c r="E88" s="46"/>
      <c r="F88" s="46"/>
      <c r="G88" s="46"/>
      <c r="H88" s="46"/>
      <c r="I88" s="46"/>
      <c r="J88" s="46"/>
      <c r="K88" s="46"/>
    </row>
    <row r="89" customFormat="false" ht="15" hidden="false" customHeight="false" outlineLevel="0" collapsed="false">
      <c r="A89" s="49" t="s">
        <v>287</v>
      </c>
      <c r="B89" s="56" t="n">
        <v>104.328</v>
      </c>
      <c r="C89" s="51" t="s">
        <v>200</v>
      </c>
      <c r="D89" s="51" t="s">
        <v>288</v>
      </c>
      <c r="E89" s="46"/>
      <c r="F89" s="46"/>
      <c r="G89" s="46"/>
      <c r="H89" s="46"/>
      <c r="I89" s="46"/>
      <c r="J89" s="46"/>
      <c r="K89" s="46"/>
    </row>
    <row r="90" customFormat="false" ht="15" hidden="false" customHeight="false" outlineLevel="0" collapsed="false">
      <c r="A90" s="49" t="s">
        <v>289</v>
      </c>
      <c r="B90" s="56" t="n">
        <v>110.519</v>
      </c>
      <c r="C90" s="51" t="s">
        <v>200</v>
      </c>
      <c r="D90" s="51" t="s">
        <v>288</v>
      </c>
      <c r="E90" s="46"/>
      <c r="F90" s="46"/>
      <c r="G90" s="46"/>
      <c r="H90" s="46"/>
      <c r="I90" s="46"/>
      <c r="J90" s="46"/>
      <c r="K90" s="46"/>
    </row>
    <row r="91" customFormat="false" ht="15" hidden="false" customHeight="false" outlineLevel="0" collapsed="false">
      <c r="A91" s="49" t="s">
        <v>290</v>
      </c>
      <c r="B91" s="56" t="n">
        <v>115.216</v>
      </c>
      <c r="C91" s="51" t="s">
        <v>200</v>
      </c>
      <c r="D91" s="51" t="s">
        <v>288</v>
      </c>
      <c r="E91" s="46"/>
      <c r="F91" s="46"/>
      <c r="G91" s="46"/>
      <c r="H91" s="46"/>
      <c r="I91" s="46"/>
      <c r="J91" s="46"/>
      <c r="K91" s="46"/>
    </row>
    <row r="92" customFormat="false" ht="15" hidden="false" customHeight="false" outlineLevel="0" collapsed="false">
      <c r="A92" s="49" t="s">
        <v>291</v>
      </c>
      <c r="B92" s="56" t="n">
        <v>119.075</v>
      </c>
      <c r="C92" s="51" t="s">
        <v>200</v>
      </c>
      <c r="D92" s="51" t="s">
        <v>288</v>
      </c>
      <c r="E92" s="46"/>
      <c r="F92" s="46"/>
      <c r="G92" s="46"/>
      <c r="H92" s="46"/>
      <c r="I92" s="46"/>
      <c r="J92" s="46"/>
      <c r="K92" s="46"/>
    </row>
    <row r="93" customFormat="false" ht="15" hidden="false" customHeight="false" outlineLevel="0" collapsed="false">
      <c r="A93" s="49" t="s">
        <v>292</v>
      </c>
      <c r="B93" s="56" t="n">
        <v>125.825</v>
      </c>
      <c r="C93" s="51" t="s">
        <v>200</v>
      </c>
      <c r="D93" s="51" t="s">
        <v>288</v>
      </c>
      <c r="E93" s="46"/>
      <c r="F93" s="46"/>
      <c r="G93" s="46"/>
      <c r="H93" s="46"/>
      <c r="I93" s="46"/>
      <c r="J93" s="46"/>
      <c r="K93" s="46"/>
    </row>
    <row r="94" customFormat="false" ht="15" hidden="false" customHeight="false" outlineLevel="0" collapsed="false">
      <c r="A94" s="49" t="s">
        <v>293</v>
      </c>
      <c r="B94" s="56" t="n">
        <v>132.794</v>
      </c>
      <c r="C94" s="51" t="s">
        <v>200</v>
      </c>
      <c r="D94" s="51" t="s">
        <v>288</v>
      </c>
      <c r="E94" s="46"/>
      <c r="F94" s="46"/>
      <c r="G94" s="46"/>
      <c r="H94" s="46"/>
      <c r="I94" s="46"/>
      <c r="J94" s="46"/>
      <c r="K94" s="46"/>
    </row>
    <row r="95" customFormat="false" ht="15" hidden="false" customHeight="false" outlineLevel="0" collapsed="false">
      <c r="A95" s="49" t="s">
        <v>294</v>
      </c>
      <c r="B95" s="56" t="n">
        <v>140.706</v>
      </c>
      <c r="C95" s="51" t="s">
        <v>200</v>
      </c>
      <c r="D95" s="51" t="s">
        <v>288</v>
      </c>
      <c r="E95" s="46"/>
      <c r="F95" s="46"/>
      <c r="G95" s="46"/>
      <c r="H95" s="46"/>
      <c r="I95" s="46"/>
      <c r="J95" s="46"/>
      <c r="K95" s="46"/>
    </row>
    <row r="96" customFormat="false" ht="15" hidden="false" customHeight="false" outlineLevel="0" collapsed="false">
      <c r="A96" s="49" t="s">
        <v>295</v>
      </c>
      <c r="B96" s="56" t="n">
        <v>149.264</v>
      </c>
      <c r="C96" s="51" t="s">
        <v>200</v>
      </c>
      <c r="D96" s="51" t="s">
        <v>288</v>
      </c>
      <c r="E96" s="46"/>
      <c r="F96" s="46"/>
      <c r="G96" s="46"/>
      <c r="H96" s="46"/>
      <c r="I96" s="46"/>
      <c r="J96" s="46"/>
      <c r="K96" s="46"/>
    </row>
    <row r="97" customFormat="false" ht="15" hidden="false" customHeight="false" outlineLevel="0" collapsed="false">
      <c r="A97" s="49" t="s">
        <v>296</v>
      </c>
      <c r="B97" s="56" t="n">
        <v>156.54</v>
      </c>
      <c r="C97" s="51" t="s">
        <v>200</v>
      </c>
      <c r="D97" s="51" t="s">
        <v>288</v>
      </c>
      <c r="E97" s="46"/>
      <c r="F97" s="46"/>
      <c r="G97" s="46"/>
      <c r="H97" s="46"/>
      <c r="I97" s="46"/>
      <c r="J97" s="46"/>
      <c r="K97" s="46"/>
    </row>
    <row r="98" customFormat="false" ht="15" hidden="false" customHeight="false" outlineLevel="0" collapsed="false">
      <c r="A98" s="49" t="s">
        <v>297</v>
      </c>
      <c r="B98" s="56" t="n">
        <v>163.825</v>
      </c>
      <c r="C98" s="51" t="s">
        <v>200</v>
      </c>
      <c r="D98" s="51" t="s">
        <v>288</v>
      </c>
      <c r="E98" s="46"/>
      <c r="F98" s="46"/>
      <c r="G98" s="46"/>
      <c r="H98" s="46"/>
      <c r="I98" s="46"/>
      <c r="J98" s="46"/>
      <c r="K98" s="46"/>
    </row>
    <row r="99" customFormat="false" ht="15" hidden="false" customHeight="false" outlineLevel="0" collapsed="false">
      <c r="A99" s="49" t="s">
        <v>298</v>
      </c>
      <c r="B99" s="56" t="n">
        <v>171.073</v>
      </c>
      <c r="C99" s="51" t="s">
        <v>200</v>
      </c>
      <c r="D99" s="51" t="s">
        <v>288</v>
      </c>
      <c r="E99" s="46"/>
      <c r="F99" s="46"/>
      <c r="G99" s="46"/>
      <c r="H99" s="46"/>
      <c r="I99" s="46"/>
      <c r="J99" s="46"/>
      <c r="K99" s="46"/>
    </row>
    <row r="100" customFormat="false" ht="15" hidden="false" customHeight="false" outlineLevel="0" collapsed="false">
      <c r="A100" s="49" t="s">
        <v>299</v>
      </c>
      <c r="B100" s="56" t="n">
        <v>178.88</v>
      </c>
      <c r="C100" s="51" t="s">
        <v>200</v>
      </c>
      <c r="D100" s="51" t="s">
        <v>288</v>
      </c>
      <c r="E100" s="46"/>
      <c r="F100" s="46"/>
      <c r="G100" s="46"/>
      <c r="H100" s="46"/>
      <c r="I100" s="46"/>
      <c r="J100" s="46"/>
      <c r="K100" s="46"/>
    </row>
    <row r="101" customFormat="false" ht="15" hidden="false" customHeight="false" outlineLevel="0" collapsed="false">
      <c r="A101" s="49" t="s">
        <v>300</v>
      </c>
      <c r="B101" s="56" t="n">
        <v>187.14</v>
      </c>
      <c r="C101" s="51" t="s">
        <v>200</v>
      </c>
      <c r="D101" s="51" t="s">
        <v>288</v>
      </c>
      <c r="E101" s="46"/>
      <c r="F101" s="46"/>
      <c r="G101" s="46"/>
      <c r="H101" s="46"/>
      <c r="I101" s="46"/>
      <c r="J101" s="46"/>
      <c r="K101" s="46"/>
    </row>
    <row r="102" customFormat="false" ht="15" hidden="false" customHeight="false" outlineLevel="0" collapsed="false">
      <c r="A102" s="49" t="s">
        <v>301</v>
      </c>
      <c r="B102" s="56" t="n">
        <v>37.004</v>
      </c>
      <c r="C102" s="51" t="s">
        <v>200</v>
      </c>
      <c r="D102" s="51" t="s">
        <v>302</v>
      </c>
      <c r="E102" s="46"/>
      <c r="F102" s="46"/>
      <c r="G102" s="46"/>
      <c r="H102" s="46"/>
      <c r="I102" s="46"/>
      <c r="J102" s="46"/>
      <c r="K102" s="46"/>
    </row>
    <row r="103" customFormat="false" ht="15" hidden="false" customHeight="false" outlineLevel="0" collapsed="false">
      <c r="A103" s="49" t="s">
        <v>303</v>
      </c>
      <c r="B103" s="56" t="n">
        <v>36.978</v>
      </c>
      <c r="C103" s="51" t="s">
        <v>200</v>
      </c>
      <c r="D103" s="51" t="s">
        <v>302</v>
      </c>
      <c r="E103" s="46"/>
      <c r="F103" s="46"/>
      <c r="G103" s="46"/>
      <c r="H103" s="46"/>
      <c r="I103" s="46"/>
      <c r="J103" s="46"/>
      <c r="K103" s="46"/>
    </row>
    <row r="104" customFormat="false" ht="15" hidden="false" customHeight="false" outlineLevel="0" collapsed="false">
      <c r="A104" s="49" t="s">
        <v>304</v>
      </c>
      <c r="B104" s="56" t="n">
        <v>39.513</v>
      </c>
      <c r="C104" s="51" t="s">
        <v>200</v>
      </c>
      <c r="D104" s="51" t="s">
        <v>302</v>
      </c>
      <c r="E104" s="46"/>
      <c r="F104" s="46"/>
      <c r="G104" s="46"/>
      <c r="H104" s="46"/>
      <c r="I104" s="46"/>
      <c r="J104" s="46"/>
      <c r="K104" s="46"/>
    </row>
    <row r="105" customFormat="false" ht="15" hidden="false" customHeight="false" outlineLevel="0" collapsed="false">
      <c r="A105" s="49" t="s">
        <v>305</v>
      </c>
      <c r="B105" s="56" t="n">
        <v>41.366</v>
      </c>
      <c r="C105" s="51" t="s">
        <v>200</v>
      </c>
      <c r="D105" s="51" t="s">
        <v>302</v>
      </c>
      <c r="E105" s="46"/>
      <c r="F105" s="46"/>
      <c r="G105" s="46"/>
      <c r="H105" s="46"/>
      <c r="I105" s="46"/>
      <c r="J105" s="46"/>
      <c r="K105" s="46"/>
    </row>
    <row r="106" customFormat="false" ht="15" hidden="false" customHeight="false" outlineLevel="0" collapsed="false">
      <c r="A106" s="49" t="s">
        <v>306</v>
      </c>
      <c r="B106" s="56" t="n">
        <v>45.172</v>
      </c>
      <c r="C106" s="51" t="s">
        <v>200</v>
      </c>
      <c r="D106" s="51" t="s">
        <v>302</v>
      </c>
      <c r="E106" s="46"/>
      <c r="F106" s="46"/>
      <c r="G106" s="46"/>
      <c r="H106" s="46"/>
      <c r="I106" s="46"/>
      <c r="J106" s="46"/>
      <c r="K106" s="46"/>
    </row>
    <row r="107" customFormat="false" ht="15" hidden="false" customHeight="false" outlineLevel="0" collapsed="false">
      <c r="A107" s="49" t="s">
        <v>307</v>
      </c>
      <c r="B107" s="56" t="n">
        <v>49.209</v>
      </c>
      <c r="C107" s="51" t="s">
        <v>200</v>
      </c>
      <c r="D107" s="51" t="s">
        <v>302</v>
      </c>
      <c r="E107" s="46"/>
      <c r="F107" s="46"/>
      <c r="G107" s="46"/>
      <c r="H107" s="46"/>
      <c r="I107" s="46"/>
      <c r="J107" s="46"/>
      <c r="K107" s="46"/>
    </row>
    <row r="108" customFormat="false" ht="15" hidden="false" customHeight="false" outlineLevel="0" collapsed="false">
      <c r="A108" s="49" t="s">
        <v>308</v>
      </c>
      <c r="B108" s="56" t="n">
        <v>53.858</v>
      </c>
      <c r="C108" s="51" t="s">
        <v>200</v>
      </c>
      <c r="D108" s="51" t="s">
        <v>302</v>
      </c>
      <c r="E108" s="46"/>
      <c r="F108" s="46"/>
      <c r="G108" s="46"/>
      <c r="H108" s="46"/>
      <c r="I108" s="46"/>
      <c r="J108" s="46"/>
      <c r="K108" s="46"/>
    </row>
    <row r="109" customFormat="false" ht="15" hidden="false" customHeight="false" outlineLevel="0" collapsed="false">
      <c r="A109" s="49" t="s">
        <v>309</v>
      </c>
      <c r="B109" s="56" t="n">
        <v>58.961</v>
      </c>
      <c r="C109" s="51" t="s">
        <v>200</v>
      </c>
      <c r="D109" s="51" t="s">
        <v>302</v>
      </c>
      <c r="E109" s="46"/>
      <c r="F109" s="46"/>
      <c r="G109" s="46"/>
      <c r="H109" s="46"/>
      <c r="I109" s="46"/>
      <c r="J109" s="46"/>
      <c r="K109" s="46"/>
    </row>
    <row r="110" customFormat="false" ht="15" hidden="false" customHeight="false" outlineLevel="0" collapsed="false">
      <c r="A110" s="49" t="s">
        <v>310</v>
      </c>
      <c r="B110" s="56" t="n">
        <v>63.23</v>
      </c>
      <c r="C110" s="51" t="s">
        <v>200</v>
      </c>
      <c r="D110" s="51" t="s">
        <v>302</v>
      </c>
      <c r="E110" s="46"/>
      <c r="F110" s="46"/>
      <c r="G110" s="46"/>
      <c r="H110" s="46"/>
      <c r="I110" s="46"/>
      <c r="J110" s="46"/>
      <c r="K110" s="46"/>
    </row>
    <row r="111" customFormat="false" ht="15" hidden="false" customHeight="false" outlineLevel="0" collapsed="false">
      <c r="A111" s="49" t="s">
        <v>311</v>
      </c>
      <c r="B111" s="56" t="n">
        <v>67.43</v>
      </c>
      <c r="C111" s="51" t="s">
        <v>200</v>
      </c>
      <c r="D111" s="51" t="s">
        <v>302</v>
      </c>
      <c r="E111" s="46"/>
      <c r="F111" s="46"/>
      <c r="G111" s="46"/>
      <c r="H111" s="46"/>
      <c r="I111" s="46"/>
      <c r="J111" s="46"/>
      <c r="K111" s="46"/>
    </row>
    <row r="112" customFormat="false" ht="15" hidden="false" customHeight="false" outlineLevel="0" collapsed="false">
      <c r="A112" s="49" t="s">
        <v>312</v>
      </c>
      <c r="B112" s="56" t="n">
        <v>71.589</v>
      </c>
      <c r="C112" s="51" t="s">
        <v>200</v>
      </c>
      <c r="D112" s="51" t="s">
        <v>302</v>
      </c>
      <c r="E112" s="46"/>
      <c r="F112" s="46"/>
      <c r="G112" s="46"/>
      <c r="H112" s="46"/>
      <c r="I112" s="46"/>
      <c r="J112" s="46"/>
      <c r="K112" s="46"/>
    </row>
    <row r="113" customFormat="false" ht="15" hidden="false" customHeight="false" outlineLevel="0" collapsed="false">
      <c r="A113" s="49" t="s">
        <v>313</v>
      </c>
      <c r="B113" s="56" t="n">
        <v>76.099</v>
      </c>
      <c r="C113" s="51" t="s">
        <v>200</v>
      </c>
      <c r="D113" s="51" t="s">
        <v>302</v>
      </c>
      <c r="E113" s="46"/>
      <c r="F113" s="46"/>
      <c r="G113" s="46"/>
      <c r="H113" s="46"/>
      <c r="I113" s="46"/>
      <c r="J113" s="46"/>
      <c r="K113" s="46"/>
    </row>
    <row r="114" customFormat="false" ht="15" hidden="false" customHeight="false" outlineLevel="0" collapsed="false">
      <c r="A114" s="49" t="s">
        <v>314</v>
      </c>
      <c r="B114" s="56" t="n">
        <v>80.914</v>
      </c>
      <c r="C114" s="51" t="s">
        <v>200</v>
      </c>
      <c r="D114" s="51" t="s">
        <v>302</v>
      </c>
      <c r="E114" s="46"/>
      <c r="F114" s="46"/>
      <c r="G114" s="46"/>
      <c r="H114" s="46"/>
      <c r="I114" s="46"/>
      <c r="J114" s="46"/>
      <c r="K114" s="46"/>
    </row>
    <row r="115" customFormat="false" ht="15" hidden="false" customHeight="false" outlineLevel="0" collapsed="false">
      <c r="A115" s="49" t="s">
        <v>315</v>
      </c>
      <c r="B115" s="56" t="n">
        <v>77.48</v>
      </c>
      <c r="C115" s="51" t="s">
        <v>247</v>
      </c>
      <c r="D115" s="51" t="s">
        <v>316</v>
      </c>
      <c r="E115" s="46"/>
      <c r="F115" s="46"/>
      <c r="G115" s="46"/>
      <c r="H115" s="46"/>
      <c r="I115" s="46"/>
      <c r="J115" s="46"/>
      <c r="K115" s="46"/>
    </row>
    <row r="116" customFormat="false" ht="15" hidden="false" customHeight="false" outlineLevel="0" collapsed="false">
      <c r="A116" s="49" t="s">
        <v>317</v>
      </c>
      <c r="B116" s="56" t="n">
        <v>80.33</v>
      </c>
      <c r="C116" s="51" t="s">
        <v>247</v>
      </c>
      <c r="D116" s="51" t="s">
        <v>316</v>
      </c>
      <c r="E116" s="46"/>
      <c r="F116" s="46"/>
      <c r="G116" s="46"/>
      <c r="H116" s="46"/>
      <c r="I116" s="46"/>
      <c r="J116" s="46"/>
      <c r="K116" s="46"/>
    </row>
    <row r="117" customFormat="false" ht="15" hidden="false" customHeight="false" outlineLevel="0" collapsed="false">
      <c r="A117" s="49" t="s">
        <v>318</v>
      </c>
      <c r="B117" s="56" t="n">
        <v>82.38</v>
      </c>
      <c r="C117" s="51" t="s">
        <v>247</v>
      </c>
      <c r="D117" s="51" t="s">
        <v>316</v>
      </c>
      <c r="E117" s="46"/>
      <c r="F117" s="46"/>
      <c r="G117" s="46"/>
      <c r="H117" s="46"/>
      <c r="I117" s="46"/>
      <c r="J117" s="46"/>
      <c r="K117" s="46"/>
    </row>
    <row r="118" customFormat="false" ht="15" hidden="false" customHeight="false" outlineLevel="0" collapsed="false">
      <c r="A118" s="49" t="s">
        <v>319</v>
      </c>
      <c r="B118" s="56" t="n">
        <v>83.53</v>
      </c>
      <c r="C118" s="51" t="s">
        <v>247</v>
      </c>
      <c r="D118" s="51" t="s">
        <v>316</v>
      </c>
      <c r="E118" s="46"/>
      <c r="F118" s="46"/>
      <c r="G118" s="46"/>
      <c r="H118" s="46"/>
      <c r="I118" s="46"/>
      <c r="J118" s="46"/>
      <c r="K118" s="46"/>
    </row>
    <row r="119" customFormat="false" ht="15" hidden="false" customHeight="false" outlineLevel="0" collapsed="false">
      <c r="A119" s="49" t="s">
        <v>320</v>
      </c>
      <c r="B119" s="56" t="n">
        <v>85.44</v>
      </c>
      <c r="C119" s="51" t="s">
        <v>247</v>
      </c>
      <c r="D119" s="51" t="s">
        <v>316</v>
      </c>
      <c r="E119" s="46"/>
      <c r="F119" s="46"/>
      <c r="G119" s="46"/>
      <c r="H119" s="46"/>
      <c r="I119" s="46"/>
      <c r="J119" s="46"/>
      <c r="K119" s="46"/>
    </row>
    <row r="120" customFormat="false" ht="15" hidden="false" customHeight="false" outlineLevel="0" collapsed="false">
      <c r="A120" s="49" t="s">
        <v>321</v>
      </c>
      <c r="B120" s="56" t="n">
        <v>87.39</v>
      </c>
      <c r="C120" s="51" t="s">
        <v>247</v>
      </c>
      <c r="D120" s="51" t="s">
        <v>316</v>
      </c>
      <c r="E120" s="46"/>
      <c r="F120" s="46"/>
      <c r="G120" s="46"/>
      <c r="H120" s="46"/>
      <c r="I120" s="46"/>
      <c r="J120" s="46"/>
      <c r="K120" s="46"/>
    </row>
    <row r="121" customFormat="false" ht="15" hidden="false" customHeight="false" outlineLevel="0" collapsed="false">
      <c r="A121" s="49" t="s">
        <v>322</v>
      </c>
      <c r="B121" s="56" t="n">
        <v>89.39</v>
      </c>
      <c r="C121" s="51" t="s">
        <v>247</v>
      </c>
      <c r="D121" s="51" t="s">
        <v>316</v>
      </c>
      <c r="E121" s="46"/>
      <c r="F121" s="46"/>
      <c r="G121" s="46"/>
      <c r="H121" s="46"/>
      <c r="I121" s="46"/>
      <c r="J121" s="46"/>
      <c r="K121" s="46"/>
    </row>
    <row r="122" customFormat="false" ht="15" hidden="false" customHeight="false" outlineLevel="0" collapsed="false">
      <c r="A122" s="49" t="s">
        <v>323</v>
      </c>
      <c r="B122" s="56" t="n">
        <v>91.44</v>
      </c>
      <c r="C122" s="51" t="s">
        <v>247</v>
      </c>
      <c r="D122" s="51" t="s">
        <v>316</v>
      </c>
      <c r="E122" s="46"/>
      <c r="F122" s="46"/>
      <c r="G122" s="46"/>
      <c r="H122" s="46"/>
      <c r="I122" s="46"/>
      <c r="J122" s="46"/>
      <c r="K122" s="46"/>
    </row>
    <row r="123" customFormat="false" ht="15" hidden="false" customHeight="false" outlineLevel="0" collapsed="false">
      <c r="A123" s="49" t="s">
        <v>324</v>
      </c>
      <c r="B123" s="56" t="n">
        <v>93.54</v>
      </c>
      <c r="C123" s="51" t="s">
        <v>247</v>
      </c>
      <c r="D123" s="51" t="s">
        <v>316</v>
      </c>
      <c r="E123" s="46"/>
      <c r="F123" s="46"/>
      <c r="G123" s="46"/>
      <c r="H123" s="46"/>
      <c r="I123" s="46"/>
      <c r="J123" s="46"/>
      <c r="K123" s="46"/>
    </row>
    <row r="124" customFormat="false" ht="15" hidden="false" customHeight="false" outlineLevel="0" collapsed="false">
      <c r="A124" s="49" t="s">
        <v>325</v>
      </c>
      <c r="B124" s="56" t="n">
        <v>95.69</v>
      </c>
      <c r="C124" s="51" t="s">
        <v>247</v>
      </c>
      <c r="D124" s="51" t="s">
        <v>316</v>
      </c>
      <c r="E124" s="46"/>
      <c r="F124" s="46"/>
      <c r="G124" s="46"/>
      <c r="H124" s="46"/>
      <c r="I124" s="46"/>
      <c r="J124" s="46"/>
      <c r="K124" s="46"/>
    </row>
    <row r="125" customFormat="false" ht="15" hidden="false" customHeight="false" outlineLevel="0" collapsed="false">
      <c r="A125" s="49" t="s">
        <v>326</v>
      </c>
      <c r="B125" s="56" t="n">
        <v>97.9</v>
      </c>
      <c r="C125" s="51" t="s">
        <v>247</v>
      </c>
      <c r="D125" s="51" t="s">
        <v>316</v>
      </c>
      <c r="E125" s="46"/>
      <c r="F125" s="46"/>
      <c r="G125" s="46"/>
      <c r="H125" s="46"/>
      <c r="I125" s="46"/>
      <c r="J125" s="46"/>
      <c r="K125" s="46"/>
    </row>
    <row r="126" customFormat="false" ht="15" hidden="false" customHeight="false" outlineLevel="0" collapsed="false">
      <c r="A126" s="49" t="s">
        <v>327</v>
      </c>
      <c r="B126" s="56" t="n">
        <v>100.16</v>
      </c>
      <c r="C126" s="51" t="s">
        <v>247</v>
      </c>
      <c r="D126" s="51" t="s">
        <v>316</v>
      </c>
      <c r="E126" s="46"/>
      <c r="F126" s="46"/>
      <c r="G126" s="46"/>
      <c r="H126" s="46"/>
      <c r="I126" s="46"/>
      <c r="J126" s="46"/>
      <c r="K126" s="46"/>
    </row>
    <row r="127" customFormat="false" ht="15" hidden="false" customHeight="false" outlineLevel="0" collapsed="false">
      <c r="A127" s="49" t="s">
        <v>328</v>
      </c>
      <c r="B127" s="56" t="n">
        <v>102.49</v>
      </c>
      <c r="C127" s="51" t="s">
        <v>247</v>
      </c>
      <c r="D127" s="51" t="s">
        <v>316</v>
      </c>
      <c r="E127" s="46"/>
      <c r="F127" s="46"/>
      <c r="G127" s="46"/>
      <c r="H127" s="46"/>
      <c r="I127" s="46"/>
      <c r="J127" s="46"/>
      <c r="K127" s="46"/>
    </row>
    <row r="128" customFormat="false" ht="15" hidden="false" customHeight="false" outlineLevel="0" collapsed="false">
      <c r="A128" s="49" t="s">
        <v>329</v>
      </c>
      <c r="B128" s="56" t="n">
        <v>91.91</v>
      </c>
      <c r="C128" s="51" t="s">
        <v>247</v>
      </c>
      <c r="D128" s="51" t="s">
        <v>330</v>
      </c>
      <c r="E128" s="46"/>
      <c r="F128" s="46"/>
      <c r="G128" s="46"/>
      <c r="H128" s="46"/>
      <c r="I128" s="46"/>
      <c r="J128" s="46"/>
      <c r="K128" s="46"/>
    </row>
    <row r="129" customFormat="false" ht="15" hidden="false" customHeight="false" outlineLevel="0" collapsed="false">
      <c r="A129" s="49" t="s">
        <v>331</v>
      </c>
      <c r="B129" s="56" t="n">
        <v>95.06</v>
      </c>
      <c r="C129" s="51" t="s">
        <v>247</v>
      </c>
      <c r="D129" s="51" t="s">
        <v>330</v>
      </c>
      <c r="E129" s="46"/>
      <c r="F129" s="46"/>
      <c r="G129" s="46"/>
      <c r="H129" s="46"/>
      <c r="I129" s="46"/>
      <c r="J129" s="46"/>
      <c r="K129" s="46"/>
    </row>
    <row r="130" customFormat="false" ht="15" hidden="false" customHeight="false" outlineLevel="0" collapsed="false">
      <c r="A130" s="49" t="s">
        <v>332</v>
      </c>
      <c r="B130" s="56" t="n">
        <v>97.4</v>
      </c>
      <c r="C130" s="51" t="s">
        <v>247</v>
      </c>
      <c r="D130" s="51" t="s">
        <v>330</v>
      </c>
      <c r="E130" s="46"/>
      <c r="F130" s="46"/>
      <c r="G130" s="46"/>
      <c r="H130" s="46"/>
      <c r="I130" s="46"/>
      <c r="J130" s="46"/>
      <c r="K130" s="46"/>
    </row>
    <row r="131" customFormat="false" ht="15" hidden="false" customHeight="false" outlineLevel="0" collapsed="false">
      <c r="A131" s="49" t="s">
        <v>333</v>
      </c>
      <c r="B131" s="56" t="n">
        <v>98.85</v>
      </c>
      <c r="C131" s="51" t="s">
        <v>247</v>
      </c>
      <c r="D131" s="51" t="s">
        <v>330</v>
      </c>
      <c r="E131" s="46"/>
      <c r="F131" s="46"/>
      <c r="G131" s="46"/>
      <c r="H131" s="46"/>
      <c r="I131" s="46"/>
      <c r="J131" s="46"/>
      <c r="K131" s="46"/>
    </row>
    <row r="132" customFormat="false" ht="15" hidden="false" customHeight="false" outlineLevel="0" collapsed="false">
      <c r="A132" s="49" t="s">
        <v>334</v>
      </c>
      <c r="B132" s="56" t="n">
        <v>101.06</v>
      </c>
      <c r="C132" s="51" t="s">
        <v>247</v>
      </c>
      <c r="D132" s="51" t="s">
        <v>330</v>
      </c>
      <c r="E132" s="46"/>
      <c r="F132" s="46"/>
      <c r="G132" s="46"/>
      <c r="H132" s="46"/>
      <c r="I132" s="46"/>
      <c r="J132" s="46"/>
      <c r="K132" s="46"/>
    </row>
    <row r="133" customFormat="false" ht="15" hidden="false" customHeight="false" outlineLevel="0" collapsed="false">
      <c r="A133" s="49" t="s">
        <v>335</v>
      </c>
      <c r="B133" s="56" t="n">
        <v>103.33</v>
      </c>
      <c r="C133" s="51" t="s">
        <v>247</v>
      </c>
      <c r="D133" s="51" t="s">
        <v>330</v>
      </c>
      <c r="E133" s="46"/>
      <c r="F133" s="46"/>
      <c r="G133" s="46"/>
      <c r="H133" s="46"/>
      <c r="I133" s="46"/>
      <c r="J133" s="46"/>
      <c r="K133" s="46"/>
    </row>
    <row r="134" customFormat="false" ht="15" hidden="false" customHeight="false" outlineLevel="0" collapsed="false">
      <c r="A134" s="49" t="s">
        <v>336</v>
      </c>
      <c r="B134" s="56" t="n">
        <v>105.64</v>
      </c>
      <c r="C134" s="51" t="s">
        <v>247</v>
      </c>
      <c r="D134" s="51" t="s">
        <v>330</v>
      </c>
      <c r="E134" s="46"/>
      <c r="F134" s="46"/>
      <c r="G134" s="46"/>
      <c r="H134" s="46"/>
      <c r="I134" s="46"/>
      <c r="J134" s="46"/>
      <c r="K134" s="46"/>
    </row>
    <row r="135" customFormat="false" ht="15" hidden="false" customHeight="false" outlineLevel="0" collapsed="false">
      <c r="A135" s="49" t="s">
        <v>337</v>
      </c>
      <c r="B135" s="56" t="n">
        <v>108.02</v>
      </c>
      <c r="C135" s="51" t="s">
        <v>247</v>
      </c>
      <c r="D135" s="51" t="s">
        <v>330</v>
      </c>
      <c r="E135" s="46"/>
      <c r="F135" s="46"/>
      <c r="G135" s="46"/>
      <c r="H135" s="46"/>
      <c r="I135" s="46"/>
      <c r="J135" s="46"/>
      <c r="K135" s="46"/>
    </row>
    <row r="136" customFormat="false" ht="15" hidden="false" customHeight="false" outlineLevel="0" collapsed="false">
      <c r="A136" s="49" t="s">
        <v>338</v>
      </c>
      <c r="B136" s="56" t="n">
        <v>110.45</v>
      </c>
      <c r="C136" s="51" t="s">
        <v>247</v>
      </c>
      <c r="D136" s="51" t="s">
        <v>330</v>
      </c>
      <c r="E136" s="46"/>
      <c r="F136" s="46"/>
      <c r="G136" s="46"/>
      <c r="H136" s="46"/>
      <c r="I136" s="46"/>
      <c r="J136" s="46"/>
      <c r="K136" s="46"/>
    </row>
    <row r="137" customFormat="false" ht="15" hidden="false" customHeight="false" outlineLevel="0" collapsed="false">
      <c r="A137" s="49" t="s">
        <v>339</v>
      </c>
      <c r="B137" s="56" t="n">
        <v>112.94</v>
      </c>
      <c r="C137" s="51" t="s">
        <v>247</v>
      </c>
      <c r="D137" s="51" t="s">
        <v>330</v>
      </c>
      <c r="E137" s="46"/>
      <c r="F137" s="46"/>
      <c r="G137" s="46"/>
      <c r="H137" s="46"/>
      <c r="I137" s="46"/>
      <c r="J137" s="46"/>
      <c r="K137" s="46"/>
    </row>
    <row r="138" customFormat="false" ht="15" hidden="false" customHeight="false" outlineLevel="0" collapsed="false">
      <c r="A138" s="49" t="s">
        <v>340</v>
      </c>
      <c r="B138" s="56" t="n">
        <v>115.5</v>
      </c>
      <c r="C138" s="51" t="s">
        <v>247</v>
      </c>
      <c r="D138" s="51" t="s">
        <v>330</v>
      </c>
      <c r="E138" s="46"/>
      <c r="F138" s="46"/>
      <c r="G138" s="46"/>
      <c r="H138" s="46"/>
      <c r="I138" s="46"/>
      <c r="J138" s="46"/>
      <c r="K138" s="46"/>
    </row>
    <row r="139" customFormat="false" ht="15" hidden="false" customHeight="false" outlineLevel="0" collapsed="false">
      <c r="A139" s="49" t="s">
        <v>341</v>
      </c>
      <c r="B139" s="56" t="n">
        <v>118.11</v>
      </c>
      <c r="C139" s="51" t="s">
        <v>247</v>
      </c>
      <c r="D139" s="51" t="s">
        <v>330</v>
      </c>
      <c r="E139" s="46"/>
      <c r="F139" s="46"/>
      <c r="G139" s="46"/>
      <c r="H139" s="46"/>
      <c r="I139" s="46"/>
      <c r="J139" s="46"/>
      <c r="K139" s="46"/>
    </row>
    <row r="140" customFormat="false" ht="15" hidden="false" customHeight="false" outlineLevel="0" collapsed="false">
      <c r="A140" s="49" t="s">
        <v>342</v>
      </c>
      <c r="B140" s="56" t="n">
        <v>120.79</v>
      </c>
      <c r="C140" s="51" t="s">
        <v>247</v>
      </c>
      <c r="D140" s="51" t="s">
        <v>330</v>
      </c>
      <c r="E140" s="46"/>
      <c r="F140" s="46"/>
      <c r="G140" s="46"/>
      <c r="H140" s="46"/>
      <c r="I140" s="46"/>
      <c r="J140" s="46"/>
      <c r="K140" s="46"/>
    </row>
    <row r="141" customFormat="false" ht="15" hidden="false" customHeight="false" outlineLevel="0" collapsed="false">
      <c r="A141" s="49" t="s">
        <v>343</v>
      </c>
      <c r="B141" s="53" t="n">
        <v>0.311</v>
      </c>
      <c r="C141" s="51" t="s">
        <v>180</v>
      </c>
      <c r="D141" s="51" t="s">
        <v>344</v>
      </c>
      <c r="E141" s="46"/>
      <c r="F141" s="46"/>
      <c r="G141" s="46"/>
      <c r="H141" s="46"/>
      <c r="I141" s="46"/>
      <c r="J141" s="46"/>
      <c r="K141" s="46"/>
    </row>
    <row r="142" customFormat="false" ht="15" hidden="false" customHeight="false" outlineLevel="0" collapsed="false">
      <c r="A142" s="49" t="s">
        <v>345</v>
      </c>
      <c r="B142" s="53" t="n">
        <v>0.05</v>
      </c>
      <c r="C142" s="51" t="s">
        <v>180</v>
      </c>
      <c r="D142" s="51" t="s">
        <v>264</v>
      </c>
      <c r="E142" s="46"/>
      <c r="F142" s="46"/>
      <c r="G142" s="46"/>
      <c r="H142" s="46"/>
      <c r="I142" s="46"/>
      <c r="J142" s="46"/>
      <c r="K142" s="46"/>
    </row>
    <row r="143" customFormat="false" ht="15" hidden="false" customHeight="false" outlineLevel="0" collapsed="false">
      <c r="A143" s="49" t="s">
        <v>346</v>
      </c>
      <c r="B143" s="53" t="n">
        <v>0.1</v>
      </c>
      <c r="C143" s="51" t="s">
        <v>180</v>
      </c>
      <c r="D143" s="51" t="s">
        <v>264</v>
      </c>
      <c r="E143" s="46"/>
      <c r="F143" s="46"/>
      <c r="G143" s="46"/>
      <c r="H143" s="46"/>
      <c r="I143" s="46"/>
      <c r="J143" s="46"/>
      <c r="K143" s="46"/>
    </row>
    <row r="144" customFormat="false" ht="15" hidden="false" customHeight="false" outlineLevel="0" collapsed="false">
      <c r="A144" s="49" t="s">
        <v>347</v>
      </c>
      <c r="B144" s="56" t="n">
        <v>2</v>
      </c>
      <c r="C144" s="51" t="s">
        <v>200</v>
      </c>
      <c r="D144" s="51" t="s">
        <v>348</v>
      </c>
      <c r="E144" s="46"/>
      <c r="F144" s="46"/>
      <c r="G144" s="46"/>
      <c r="H144" s="46"/>
      <c r="I144" s="46"/>
      <c r="J144" s="46"/>
      <c r="K144" s="46"/>
    </row>
    <row r="145" customFormat="false" ht="15" hidden="false" customHeight="false" outlineLevel="0" collapsed="false">
      <c r="A145" s="47" t="s">
        <v>349</v>
      </c>
      <c r="B145" s="48"/>
      <c r="C145" s="48"/>
      <c r="D145" s="48"/>
      <c r="E145" s="46"/>
      <c r="F145" s="46"/>
      <c r="G145" s="46"/>
      <c r="H145" s="46"/>
      <c r="I145" s="46"/>
      <c r="J145" s="46"/>
      <c r="K145" s="46"/>
    </row>
    <row r="146" customFormat="false" ht="15" hidden="false" customHeight="false" outlineLevel="0" collapsed="false">
      <c r="A146" s="49" t="s">
        <v>350</v>
      </c>
      <c r="B146" s="60" t="n">
        <v>53987</v>
      </c>
      <c r="C146" s="51" t="s">
        <v>351</v>
      </c>
      <c r="D146" s="51" t="s">
        <v>352</v>
      </c>
      <c r="E146" s="46"/>
      <c r="F146" s="46"/>
      <c r="G146" s="46"/>
      <c r="H146" s="46"/>
      <c r="I146" s="46"/>
      <c r="J146" s="46"/>
      <c r="K146" s="46"/>
    </row>
    <row r="147" customFormat="false" ht="15" hidden="false" customHeight="false" outlineLevel="0" collapsed="false">
      <c r="A147" s="49" t="s">
        <v>353</v>
      </c>
      <c r="B147" s="52" t="n">
        <v>38597</v>
      </c>
      <c r="C147" s="51" t="s">
        <v>351</v>
      </c>
      <c r="D147" s="51" t="s">
        <v>354</v>
      </c>
      <c r="E147" s="46"/>
      <c r="F147" s="46"/>
      <c r="G147" s="46"/>
      <c r="H147" s="46"/>
      <c r="I147" s="46"/>
      <c r="J147" s="46"/>
      <c r="K147" s="46"/>
    </row>
    <row r="148" customFormat="false" ht="15" hidden="false" customHeight="false" outlineLevel="0" collapsed="false">
      <c r="A148" s="49" t="s">
        <v>355</v>
      </c>
      <c r="B148" s="61" t="n">
        <f aca="false">Inputs!$B$147/Inputs!$B$146</f>
        <v>0.714931372367422</v>
      </c>
      <c r="C148" s="51" t="s">
        <v>169</v>
      </c>
      <c r="D148" s="51" t="s">
        <v>356</v>
      </c>
      <c r="E148" s="46"/>
      <c r="F148" s="46"/>
      <c r="G148" s="46"/>
      <c r="H148" s="46"/>
      <c r="I148" s="46"/>
      <c r="J148" s="46"/>
      <c r="K148" s="46"/>
    </row>
    <row r="149" customFormat="false" ht="15" hidden="false" customHeight="false" outlineLevel="0" collapsed="false">
      <c r="A149" s="57" t="s">
        <v>357</v>
      </c>
      <c r="B149" s="62" t="s">
        <v>15</v>
      </c>
      <c r="C149" s="63" t="s">
        <v>16</v>
      </c>
      <c r="D149" s="63" t="s">
        <v>17</v>
      </c>
      <c r="E149" s="51" t="s">
        <v>358</v>
      </c>
      <c r="F149" s="46"/>
      <c r="G149" s="46"/>
      <c r="H149" s="46"/>
      <c r="I149" s="46"/>
      <c r="J149" s="46"/>
      <c r="K149" s="46"/>
    </row>
    <row r="150" customFormat="false" ht="15" hidden="false" customHeight="false" outlineLevel="0" collapsed="false">
      <c r="A150" s="49" t="s">
        <v>359</v>
      </c>
      <c r="B150" s="64" t="n">
        <v>30.432008</v>
      </c>
      <c r="C150" s="65" t="n">
        <v>40.037738</v>
      </c>
      <c r="D150" s="65" t="n">
        <v>48.633526</v>
      </c>
      <c r="E150" s="46"/>
      <c r="F150" s="46"/>
      <c r="G150" s="46"/>
      <c r="H150" s="46"/>
      <c r="I150" s="46"/>
      <c r="J150" s="46"/>
      <c r="K150" s="46"/>
    </row>
    <row r="151" customFormat="false" ht="15" hidden="false" customHeight="false" outlineLevel="0" collapsed="false">
      <c r="A151" s="49" t="s">
        <v>360</v>
      </c>
      <c r="B151" s="64" t="n">
        <v>4.95</v>
      </c>
      <c r="C151" s="65" t="n">
        <v>5.445</v>
      </c>
      <c r="D151" s="65" t="n">
        <v>5.9895</v>
      </c>
      <c r="E151" s="46"/>
      <c r="F151" s="46"/>
      <c r="G151" s="46"/>
      <c r="H151" s="46"/>
      <c r="I151" s="46"/>
      <c r="J151" s="46"/>
      <c r="K151" s="46"/>
    </row>
    <row r="152" customFormat="false" ht="15" hidden="false" customHeight="false" outlineLevel="0" collapsed="false">
      <c r="A152" s="49" t="s">
        <v>361</v>
      </c>
      <c r="B152" s="64" t="n">
        <v>4.564801</v>
      </c>
      <c r="C152" s="65" t="n">
        <v>6.005661</v>
      </c>
      <c r="D152" s="65" t="n">
        <v>7.295029</v>
      </c>
      <c r="E152" s="46"/>
      <c r="F152" s="46"/>
      <c r="G152" s="46"/>
      <c r="H152" s="46"/>
      <c r="I152" s="46"/>
      <c r="J152" s="46"/>
      <c r="K152" s="46"/>
    </row>
    <row r="153" customFormat="false" ht="15" hidden="false" customHeight="false" outlineLevel="0" collapsed="false">
      <c r="A153" s="49" t="s">
        <v>362</v>
      </c>
      <c r="B153" s="64" t="n">
        <v>1.5216</v>
      </c>
      <c r="C153" s="65" t="n">
        <v>2.001887</v>
      </c>
      <c r="D153" s="65" t="n">
        <v>2.431676</v>
      </c>
      <c r="E153" s="46"/>
      <c r="F153" s="46"/>
      <c r="G153" s="46"/>
      <c r="H153" s="46"/>
      <c r="I153" s="46"/>
      <c r="J153" s="46"/>
      <c r="K153" s="46"/>
    </row>
    <row r="154" customFormat="false" ht="15" hidden="false" customHeight="false" outlineLevel="0" collapsed="false">
      <c r="A154" s="49" t="s">
        <v>363</v>
      </c>
      <c r="B154" s="64" t="n">
        <v>3</v>
      </c>
      <c r="C154" s="65" t="n">
        <v>6</v>
      </c>
      <c r="D154" s="65" t="n">
        <v>9</v>
      </c>
      <c r="E154" s="46"/>
      <c r="F154" s="46"/>
      <c r="G154" s="46"/>
      <c r="H154" s="46"/>
      <c r="I154" s="46"/>
      <c r="J154" s="46"/>
      <c r="K154" s="46"/>
    </row>
    <row r="155" customFormat="false" ht="15" hidden="false" customHeight="false" outlineLevel="0" collapsed="false">
      <c r="A155" s="49" t="s">
        <v>364</v>
      </c>
      <c r="B155" s="64" t="n">
        <v>7.2</v>
      </c>
      <c r="C155" s="65" t="n">
        <v>7.92</v>
      </c>
      <c r="D155" s="65" t="n">
        <v>8.712</v>
      </c>
      <c r="E155" s="46"/>
      <c r="F155" s="46"/>
      <c r="G155" s="46"/>
      <c r="H155" s="46"/>
      <c r="I155" s="46"/>
      <c r="J155" s="46"/>
      <c r="K155" s="46"/>
    </row>
    <row r="156" customFormat="false" ht="15" hidden="false" customHeight="false" outlineLevel="0" collapsed="false">
      <c r="A156" s="57" t="s">
        <v>365</v>
      </c>
      <c r="B156" s="66" t="n">
        <f aca="false">SUM(B150:B155)</f>
        <v>51.668409</v>
      </c>
      <c r="C156" s="67" t="n">
        <f aca="false">SUM(C150:C155)</f>
        <v>67.410286</v>
      </c>
      <c r="D156" s="67" t="n">
        <f aca="false">SUM(D150:D155)</f>
        <v>82.061731</v>
      </c>
      <c r="E156" s="46"/>
      <c r="F156" s="46"/>
      <c r="G156" s="46"/>
      <c r="H156" s="46"/>
      <c r="I156" s="46"/>
      <c r="J156" s="46"/>
      <c r="K156" s="46"/>
    </row>
    <row r="157" customFormat="false" ht="15" hidden="false" customHeight="false" outlineLevel="0" collapsed="false">
      <c r="A157" s="57" t="s">
        <v>366</v>
      </c>
      <c r="B157" s="68" t="n">
        <f aca="false">B156*Inputs!$B$148</f>
        <v>36.9393665544112</v>
      </c>
      <c r="C157" s="69" t="n">
        <f aca="false">C156*Inputs!$B$148</f>
        <v>48.1937282816604</v>
      </c>
      <c r="D157" s="69" t="n">
        <f aca="false">D156*Inputs!$B$148</f>
        <v>58.6685059626762</v>
      </c>
      <c r="E157" s="51" t="s">
        <v>367</v>
      </c>
      <c r="F157" s="46"/>
      <c r="G157" s="46"/>
      <c r="H157" s="46"/>
      <c r="I157" s="46"/>
      <c r="J157" s="46"/>
      <c r="K157" s="46"/>
    </row>
    <row r="158" customFormat="false" ht="15" hidden="false" customHeight="false" outlineLevel="0" collapsed="false">
      <c r="A158" s="45" t="s">
        <v>368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</row>
    <row r="159" customFormat="false" ht="15" hidden="false" customHeight="false" outlineLevel="0" collapsed="false">
      <c r="A159" s="49" t="s">
        <v>369</v>
      </c>
      <c r="B159" s="53" t="n">
        <v>0.1</v>
      </c>
      <c r="C159" s="51" t="s">
        <v>180</v>
      </c>
      <c r="D159" s="51" t="s">
        <v>264</v>
      </c>
      <c r="E159" s="46"/>
      <c r="F159" s="46"/>
      <c r="G159" s="46"/>
      <c r="H159" s="46"/>
      <c r="I159" s="46"/>
      <c r="J159" s="46"/>
      <c r="K159" s="46"/>
    </row>
    <row r="160" customFormat="false" ht="15" hidden="false" customHeight="false" outlineLevel="0" collapsed="false">
      <c r="A160" s="49" t="s">
        <v>370</v>
      </c>
      <c r="B160" s="56" t="n">
        <v>9.7</v>
      </c>
      <c r="C160" s="51" t="s">
        <v>200</v>
      </c>
      <c r="D160" s="51" t="s">
        <v>264</v>
      </c>
      <c r="E160" s="46"/>
      <c r="F160" s="46"/>
      <c r="G160" s="46"/>
      <c r="H160" s="46"/>
      <c r="I160" s="46"/>
      <c r="J160" s="46"/>
      <c r="K160" s="46"/>
    </row>
    <row r="161" customFormat="false" ht="15" hidden="false" customHeight="false" outlineLevel="0" collapsed="false">
      <c r="A161" s="49" t="s">
        <v>371</v>
      </c>
      <c r="B161" s="53" t="n">
        <v>0.0313</v>
      </c>
      <c r="C161" s="51" t="s">
        <v>180</v>
      </c>
      <c r="D161" s="51" t="s">
        <v>372</v>
      </c>
      <c r="E161" s="46"/>
      <c r="F161" s="46"/>
      <c r="G161" s="46"/>
      <c r="H161" s="46"/>
      <c r="I161" s="46"/>
      <c r="J161" s="46"/>
      <c r="K161" s="46"/>
    </row>
    <row r="162" customFormat="false" ht="15" hidden="false" customHeight="false" outlineLevel="0" collapsed="false">
      <c r="A162" s="47" t="s">
        <v>373</v>
      </c>
      <c r="B162" s="48"/>
      <c r="C162" s="48"/>
      <c r="D162" s="48"/>
      <c r="E162" s="46"/>
      <c r="F162" s="46"/>
      <c r="G162" s="46"/>
      <c r="H162" s="46"/>
      <c r="I162" s="46"/>
      <c r="J162" s="46"/>
      <c r="K162" s="46"/>
    </row>
    <row r="163" customFormat="false" ht="15" hidden="false" customHeight="false" outlineLevel="0" collapsed="false">
      <c r="A163" s="49" t="s">
        <v>374</v>
      </c>
      <c r="B163" s="56" t="n">
        <v>6.5</v>
      </c>
      <c r="C163" s="51" t="s">
        <v>200</v>
      </c>
      <c r="D163" s="51" t="s">
        <v>375</v>
      </c>
      <c r="E163" s="46"/>
      <c r="F163" s="46"/>
      <c r="G163" s="46"/>
      <c r="H163" s="46"/>
      <c r="I163" s="46"/>
      <c r="J163" s="46"/>
      <c r="K163" s="46"/>
    </row>
    <row r="164" customFormat="false" ht="15" hidden="false" customHeight="false" outlineLevel="0" collapsed="false">
      <c r="A164" s="49" t="s">
        <v>376</v>
      </c>
      <c r="B164" s="56" t="n">
        <v>5</v>
      </c>
      <c r="C164" s="51" t="s">
        <v>200</v>
      </c>
      <c r="D164" s="51" t="s">
        <v>264</v>
      </c>
      <c r="E164" s="46"/>
      <c r="F164" s="46"/>
      <c r="G164" s="46"/>
      <c r="H164" s="46"/>
      <c r="I164" s="46"/>
      <c r="J164" s="46"/>
      <c r="K164" s="46"/>
    </row>
    <row r="165" customFormat="false" ht="15" hidden="false" customHeight="false" outlineLevel="0" collapsed="false">
      <c r="A165" s="49" t="s">
        <v>377</v>
      </c>
      <c r="B165" s="53" t="n">
        <v>0.5</v>
      </c>
      <c r="C165" s="51" t="s">
        <v>180</v>
      </c>
      <c r="D165" s="51" t="s">
        <v>378</v>
      </c>
      <c r="E165" s="46"/>
      <c r="F165" s="46"/>
      <c r="G165" s="46"/>
      <c r="H165" s="46"/>
      <c r="I165" s="46"/>
      <c r="J165" s="46"/>
      <c r="K165" s="46"/>
    </row>
    <row r="166" customFormat="false" ht="15" hidden="false" customHeight="false" outlineLevel="0" collapsed="false">
      <c r="A166" s="49" t="s">
        <v>379</v>
      </c>
      <c r="B166" s="53" t="n">
        <v>0.025</v>
      </c>
      <c r="C166" s="51" t="s">
        <v>180</v>
      </c>
      <c r="D166" s="51" t="s">
        <v>344</v>
      </c>
      <c r="E166" s="46"/>
      <c r="F166" s="46"/>
      <c r="G166" s="46"/>
      <c r="H166" s="46"/>
      <c r="I166" s="46"/>
      <c r="J166" s="46"/>
      <c r="K166" s="46"/>
    </row>
    <row r="167" customFormat="false" ht="15" hidden="false" customHeight="false" outlineLevel="0" collapsed="false">
      <c r="A167" s="49" t="s">
        <v>380</v>
      </c>
      <c r="B167" s="56" t="n">
        <v>2.389582</v>
      </c>
      <c r="C167" s="51" t="s">
        <v>200</v>
      </c>
      <c r="D167" s="51" t="s">
        <v>381</v>
      </c>
      <c r="E167" s="46"/>
      <c r="F167" s="46"/>
      <c r="G167" s="46"/>
      <c r="H167" s="46"/>
      <c r="I167" s="46"/>
      <c r="J167" s="46"/>
      <c r="K167" s="46"/>
    </row>
    <row r="168" customFormat="false" ht="15" hidden="false" customHeight="false" outlineLevel="0" collapsed="false">
      <c r="A168" s="49" t="s">
        <v>382</v>
      </c>
      <c r="B168" s="70" t="n">
        <v>2028.25</v>
      </c>
      <c r="C168" s="51" t="s">
        <v>230</v>
      </c>
      <c r="D168" s="51" t="s">
        <v>383</v>
      </c>
      <c r="E168" s="46"/>
      <c r="F168" s="46"/>
      <c r="G168" s="46"/>
      <c r="H168" s="46"/>
      <c r="I168" s="46"/>
      <c r="J168" s="46"/>
      <c r="K168" s="46"/>
    </row>
    <row r="169" customFormat="false" ht="15" hidden="false" customHeight="false" outlineLevel="0" collapsed="false">
      <c r="A169" s="49" t="s">
        <v>384</v>
      </c>
      <c r="B169" s="53" t="n">
        <v>0.02</v>
      </c>
      <c r="C169" s="51" t="s">
        <v>180</v>
      </c>
      <c r="D169" s="51" t="s">
        <v>385</v>
      </c>
      <c r="E169" s="46"/>
      <c r="F169" s="46"/>
      <c r="G169" s="46"/>
      <c r="H169" s="46"/>
      <c r="I169" s="46"/>
      <c r="J169" s="46"/>
      <c r="K169" s="46"/>
    </row>
    <row r="170" customFormat="false" ht="15" hidden="false" customHeight="false" outlineLevel="0" collapsed="false">
      <c r="A170" s="49" t="s">
        <v>386</v>
      </c>
      <c r="B170" s="53" t="n">
        <v>0.025</v>
      </c>
      <c r="C170" s="51" t="s">
        <v>180</v>
      </c>
      <c r="D170" s="51" t="s">
        <v>387</v>
      </c>
      <c r="E170" s="46"/>
      <c r="F170" s="46"/>
      <c r="G170" s="46"/>
      <c r="H170" s="46"/>
      <c r="I170" s="46"/>
      <c r="J170" s="46"/>
      <c r="K170" s="46"/>
    </row>
    <row r="171" customFormat="false" ht="15" hidden="false" customHeight="false" outlineLevel="0" collapsed="false">
      <c r="A171" s="49" t="s">
        <v>388</v>
      </c>
      <c r="B171" s="60" t="n">
        <v>45</v>
      </c>
      <c r="C171" s="51" t="s">
        <v>176</v>
      </c>
      <c r="D171" s="51" t="s">
        <v>389</v>
      </c>
      <c r="E171" s="46"/>
      <c r="F171" s="46"/>
      <c r="G171" s="46"/>
      <c r="H171" s="46"/>
      <c r="I171" s="46"/>
      <c r="J171" s="46"/>
      <c r="K171" s="46"/>
    </row>
    <row r="172" customFormat="false" ht="15" hidden="false" customHeight="false" outlineLevel="0" collapsed="false">
      <c r="A172" s="49" t="s">
        <v>390</v>
      </c>
      <c r="B172" s="60" t="n">
        <v>10</v>
      </c>
      <c r="C172" s="51" t="s">
        <v>176</v>
      </c>
      <c r="D172" s="51" t="s">
        <v>391</v>
      </c>
      <c r="E172" s="46"/>
      <c r="F172" s="46"/>
      <c r="G172" s="46"/>
      <c r="H172" s="46"/>
      <c r="I172" s="46"/>
      <c r="J172" s="46"/>
      <c r="K172" s="46"/>
    </row>
    <row r="173" customFormat="false" ht="15" hidden="false" customHeight="false" outlineLevel="0" collapsed="false">
      <c r="A173" s="49" t="s">
        <v>392</v>
      </c>
      <c r="B173" s="53" t="n">
        <v>0.2</v>
      </c>
      <c r="C173" s="51" t="s">
        <v>180</v>
      </c>
      <c r="D173" s="51" t="s">
        <v>393</v>
      </c>
      <c r="E173" s="46"/>
      <c r="F173" s="46"/>
      <c r="G173" s="46"/>
      <c r="H173" s="46"/>
      <c r="I173" s="46"/>
      <c r="J173" s="46"/>
      <c r="K173" s="46"/>
    </row>
    <row r="174" customFormat="false" ht="15" hidden="false" customHeight="false" outlineLevel="0" collapsed="false">
      <c r="A174" s="47" t="s">
        <v>394</v>
      </c>
      <c r="B174" s="48"/>
      <c r="C174" s="48"/>
      <c r="D174" s="48"/>
      <c r="E174" s="46"/>
      <c r="F174" s="46"/>
      <c r="G174" s="46"/>
      <c r="H174" s="46"/>
      <c r="I174" s="46"/>
      <c r="J174" s="46"/>
      <c r="K174" s="46"/>
    </row>
    <row r="175" customFormat="false" ht="15" hidden="false" customHeight="false" outlineLevel="0" collapsed="false">
      <c r="A175" s="49" t="s">
        <v>395</v>
      </c>
      <c r="B175" s="53" t="n">
        <v>0.13</v>
      </c>
      <c r="C175" s="51" t="s">
        <v>180</v>
      </c>
      <c r="D175" s="51" t="s">
        <v>264</v>
      </c>
      <c r="E175" s="46"/>
      <c r="F175" s="46"/>
      <c r="G175" s="46"/>
      <c r="H175" s="46"/>
      <c r="I175" s="46"/>
      <c r="J175" s="46"/>
      <c r="K175" s="46"/>
    </row>
    <row r="176" customFormat="false" ht="15" hidden="false" customHeight="false" outlineLevel="0" collapsed="false">
      <c r="A176" s="49" t="s">
        <v>396</v>
      </c>
      <c r="B176" s="59" t="n">
        <v>2040</v>
      </c>
      <c r="C176" s="51" t="s">
        <v>230</v>
      </c>
      <c r="D176" s="51" t="s">
        <v>397</v>
      </c>
      <c r="E176" s="46"/>
      <c r="F176" s="46"/>
      <c r="G176" s="46"/>
      <c r="H176" s="46"/>
      <c r="I176" s="46"/>
      <c r="J176" s="46"/>
      <c r="K176" s="46"/>
    </row>
    <row r="177" customFormat="false" ht="15" hidden="false" customHeight="false" outlineLevel="0" collapsed="false">
      <c r="A177" s="49" t="s">
        <v>398</v>
      </c>
      <c r="B177" s="71" t="n">
        <v>0.1</v>
      </c>
      <c r="C177" s="51" t="s">
        <v>180</v>
      </c>
      <c r="D177" s="51" t="s">
        <v>397</v>
      </c>
      <c r="E177" s="46"/>
      <c r="F177" s="46"/>
      <c r="G177" s="46"/>
      <c r="H177" s="46"/>
      <c r="I177" s="46"/>
      <c r="J177" s="46"/>
      <c r="K177" s="46"/>
    </row>
    <row r="178" customFormat="false" ht="15" hidden="false" customHeight="false" outlineLevel="0" collapsed="false">
      <c r="A178" s="49" t="s">
        <v>399</v>
      </c>
      <c r="B178" s="71" t="n">
        <v>0.1</v>
      </c>
      <c r="C178" s="51" t="s">
        <v>180</v>
      </c>
      <c r="D178" s="51" t="s">
        <v>400</v>
      </c>
      <c r="E178" s="46"/>
      <c r="F178" s="46"/>
      <c r="G178" s="46"/>
      <c r="H178" s="46"/>
      <c r="I178" s="46"/>
      <c r="J178" s="46"/>
      <c r="K178" s="46"/>
    </row>
    <row r="179" customFormat="false" ht="15" hidden="false" customHeight="false" outlineLevel="0" collapsed="false">
      <c r="A179" s="47" t="s">
        <v>401</v>
      </c>
      <c r="B179" s="48"/>
      <c r="C179" s="48"/>
      <c r="D179" s="48"/>
      <c r="E179" s="46"/>
      <c r="F179" s="46"/>
      <c r="G179" s="46"/>
      <c r="H179" s="46"/>
      <c r="I179" s="46"/>
      <c r="J179" s="46"/>
      <c r="K179" s="46"/>
    </row>
    <row r="180" customFormat="false" ht="15" hidden="false" customHeight="false" outlineLevel="0" collapsed="false">
      <c r="A180" s="49" t="s">
        <v>402</v>
      </c>
      <c r="B180" s="60" t="n">
        <v>205365</v>
      </c>
      <c r="C180" s="51" t="s">
        <v>351</v>
      </c>
      <c r="D180" s="51" t="s">
        <v>403</v>
      </c>
      <c r="E180" s="46"/>
      <c r="F180" s="46"/>
      <c r="G180" s="46"/>
      <c r="H180" s="46"/>
      <c r="I180" s="46"/>
      <c r="J180" s="46"/>
      <c r="K180" s="46"/>
    </row>
    <row r="181" customFormat="false" ht="15" hidden="false" customHeight="false" outlineLevel="0" collapsed="false">
      <c r="A181" s="49" t="s">
        <v>404</v>
      </c>
      <c r="B181" s="60" t="n">
        <v>245337</v>
      </c>
      <c r="C181" s="51" t="s">
        <v>351</v>
      </c>
      <c r="D181" s="51" t="s">
        <v>405</v>
      </c>
      <c r="E181" s="46"/>
      <c r="F181" s="46"/>
      <c r="G181" s="46"/>
      <c r="H181" s="46"/>
      <c r="I181" s="46"/>
      <c r="J181" s="46"/>
      <c r="K181" s="46"/>
    </row>
    <row r="182" customFormat="false" ht="15" hidden="false" customHeight="false" outlineLevel="0" collapsed="false">
      <c r="A182" s="49" t="s">
        <v>406</v>
      </c>
      <c r="B182" s="56" t="n">
        <v>16.5</v>
      </c>
      <c r="C182" s="51" t="s">
        <v>407</v>
      </c>
      <c r="D182" s="51" t="s">
        <v>408</v>
      </c>
      <c r="E182" s="46"/>
      <c r="F182" s="46"/>
      <c r="G182" s="46"/>
      <c r="H182" s="46"/>
      <c r="I182" s="46"/>
      <c r="J182" s="46"/>
      <c r="K182" s="46"/>
    </row>
    <row r="183" customFormat="false" ht="15" hidden="false" customHeight="false" outlineLevel="0" collapsed="false">
      <c r="A183" s="49" t="s">
        <v>409</v>
      </c>
      <c r="B183" s="56" t="n">
        <v>71.153209</v>
      </c>
      <c r="C183" s="51" t="s">
        <v>200</v>
      </c>
      <c r="D183" s="51" t="s">
        <v>410</v>
      </c>
      <c r="E183" s="46"/>
      <c r="F183" s="46"/>
      <c r="G183" s="46"/>
      <c r="H183" s="46"/>
      <c r="I183" s="46"/>
      <c r="J183" s="46"/>
      <c r="K183" s="46"/>
    </row>
    <row r="184" customFormat="false" ht="15" hidden="false" customHeight="false" outlineLevel="0" collapsed="false">
      <c r="A184" s="49" t="s">
        <v>411</v>
      </c>
      <c r="B184" s="72" t="n">
        <f aca="false">Inputs!$B$182*Inputs!$B$181/Inputs!$B$180</f>
        <v>19.7115404280184</v>
      </c>
      <c r="C184" s="46" t="s">
        <v>407</v>
      </c>
      <c r="D184" s="46"/>
      <c r="E184" s="46"/>
      <c r="F184" s="46"/>
      <c r="G184" s="46"/>
      <c r="H184" s="46"/>
      <c r="I184" s="46"/>
      <c r="J184" s="46"/>
      <c r="K184" s="46"/>
    </row>
    <row r="185" customFormat="false" ht="15" hidden="false" customHeight="false" outlineLevel="0" collapsed="false">
      <c r="A185" s="57" t="s">
        <v>412</v>
      </c>
      <c r="B185" s="72" t="n">
        <f aca="false">Inputs!$B$183*Inputs!$B$181/Inputs!$B$180</f>
        <v>85.0023851991966</v>
      </c>
      <c r="C185" s="46" t="s">
        <v>200</v>
      </c>
      <c r="D185" s="51" t="s">
        <v>413</v>
      </c>
      <c r="E185" s="46"/>
      <c r="F185" s="46"/>
      <c r="G185" s="46"/>
      <c r="H185" s="46"/>
      <c r="I185" s="46"/>
      <c r="J185" s="46"/>
      <c r="K185" s="46"/>
    </row>
    <row r="186" customFormat="false" ht="15" hidden="false" customHeight="false" outlineLevel="0" collapsed="false">
      <c r="A186" s="47" t="s">
        <v>414</v>
      </c>
      <c r="B186" s="48"/>
      <c r="C186" s="48"/>
      <c r="D186" s="48"/>
      <c r="E186" s="46"/>
      <c r="F186" s="46"/>
      <c r="G186" s="46"/>
      <c r="H186" s="46"/>
      <c r="I186" s="46"/>
      <c r="J186" s="46"/>
      <c r="K186" s="46"/>
    </row>
    <row r="187" customFormat="false" ht="15" hidden="false" customHeight="false" outlineLevel="0" collapsed="false">
      <c r="A187" s="49" t="s">
        <v>415</v>
      </c>
      <c r="B187" s="73" t="n">
        <v>1</v>
      </c>
      <c r="C187" s="51" t="s">
        <v>180</v>
      </c>
      <c r="D187" s="51" t="s">
        <v>416</v>
      </c>
      <c r="E187" s="46"/>
      <c r="F187" s="46"/>
      <c r="G187" s="46"/>
      <c r="H187" s="46"/>
      <c r="I187" s="46"/>
      <c r="J187" s="46"/>
      <c r="K187" s="46"/>
    </row>
    <row r="188" customFormat="false" ht="15" hidden="false" customHeight="false" outlineLevel="0" collapsed="false">
      <c r="A188" s="49" t="s">
        <v>417</v>
      </c>
      <c r="B188" s="71" t="n">
        <v>0.065</v>
      </c>
      <c r="C188" s="51" t="s">
        <v>180</v>
      </c>
      <c r="D188" s="51" t="s">
        <v>418</v>
      </c>
      <c r="E188" s="46"/>
      <c r="F188" s="46"/>
      <c r="G188" s="46"/>
      <c r="H188" s="46"/>
      <c r="I188" s="46"/>
      <c r="J188" s="46"/>
      <c r="K188" s="46"/>
    </row>
    <row r="189" customFormat="false" ht="15" hidden="false" customHeight="false" outlineLevel="0" collapsed="false">
      <c r="A189" s="49" t="s">
        <v>419</v>
      </c>
      <c r="B189" s="52" t="n">
        <v>4</v>
      </c>
      <c r="C189" s="51" t="s">
        <v>176</v>
      </c>
      <c r="D189" s="51" t="s">
        <v>420</v>
      </c>
      <c r="E189" s="46"/>
      <c r="F189" s="46"/>
      <c r="G189" s="46"/>
      <c r="H189" s="46"/>
      <c r="I189" s="46"/>
      <c r="J189" s="46"/>
      <c r="K189" s="46"/>
    </row>
    <row r="190" customFormat="false" ht="15" hidden="false" customHeight="false" outlineLevel="0" collapsed="false">
      <c r="A190" s="49" t="s">
        <v>421</v>
      </c>
      <c r="B190" s="52" t="n">
        <v>16</v>
      </c>
      <c r="C190" s="51" t="s">
        <v>176</v>
      </c>
      <c r="D190" s="51" t="s">
        <v>418</v>
      </c>
      <c r="E190" s="46"/>
      <c r="F190" s="46"/>
      <c r="G190" s="46"/>
      <c r="H190" s="46"/>
      <c r="I190" s="46"/>
      <c r="J190" s="46"/>
      <c r="K190" s="46"/>
    </row>
    <row r="191" customFormat="false" ht="15" hidden="false" customHeight="false" outlineLevel="0" collapsed="false">
      <c r="A191" s="49" t="s">
        <v>422</v>
      </c>
      <c r="B191" s="50" t="n">
        <v>1</v>
      </c>
      <c r="C191" s="51" t="s">
        <v>169</v>
      </c>
      <c r="D191" s="51" t="s">
        <v>423</v>
      </c>
      <c r="E191" s="46"/>
      <c r="F191" s="46"/>
      <c r="G191" s="46"/>
      <c r="H191" s="46"/>
      <c r="I191" s="46"/>
      <c r="J191" s="46"/>
      <c r="K191" s="46"/>
    </row>
    <row r="192" customFormat="false" ht="15" hidden="false" customHeight="false" outlineLevel="0" collapsed="false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</row>
    <row r="193" customFormat="false" ht="15" hidden="false" customHeight="false" outlineLevel="0" collapsed="false">
      <c r="A193" s="47" t="s">
        <v>424</v>
      </c>
      <c r="B193" s="48"/>
      <c r="C193" s="48"/>
      <c r="D193" s="48"/>
      <c r="E193" s="46"/>
      <c r="F193" s="46"/>
      <c r="G193" s="46"/>
      <c r="H193" s="46"/>
      <c r="I193" s="46"/>
      <c r="J193" s="46"/>
      <c r="K193" s="46"/>
    </row>
    <row r="194" customFormat="false" ht="15" hidden="false" customHeight="false" outlineLevel="0" collapsed="false">
      <c r="A194" s="49" t="s">
        <v>425</v>
      </c>
      <c r="B194" s="60" t="n">
        <v>40000</v>
      </c>
      <c r="C194" s="51" t="s">
        <v>351</v>
      </c>
      <c r="D194" s="51" t="s">
        <v>426</v>
      </c>
      <c r="E194" s="46"/>
      <c r="F194" s="46"/>
      <c r="G194" s="46"/>
      <c r="H194" s="46"/>
      <c r="I194" s="46"/>
      <c r="J194" s="46"/>
      <c r="K194" s="46"/>
    </row>
    <row r="195" customFormat="false" ht="15" hidden="false" customHeight="false" outlineLevel="0" collapsed="false">
      <c r="A195" s="49" t="s">
        <v>427</v>
      </c>
      <c r="B195" s="60" t="n">
        <v>18050</v>
      </c>
      <c r="C195" s="51" t="s">
        <v>351</v>
      </c>
      <c r="D195" s="51" t="s">
        <v>428</v>
      </c>
      <c r="E195" s="46"/>
      <c r="F195" s="46"/>
      <c r="G195" s="46"/>
      <c r="H195" s="46"/>
      <c r="I195" s="46"/>
      <c r="J195" s="46"/>
      <c r="K195" s="46"/>
    </row>
    <row r="196" customFormat="false" ht="15" hidden="false" customHeight="false" outlineLevel="0" collapsed="false">
      <c r="A196" s="49" t="s">
        <v>429</v>
      </c>
      <c r="B196" s="60" t="n">
        <v>48467</v>
      </c>
      <c r="C196" s="51" t="s">
        <v>351</v>
      </c>
      <c r="D196" s="51" t="s">
        <v>430</v>
      </c>
      <c r="E196" s="46"/>
      <c r="F196" s="46"/>
      <c r="G196" s="46"/>
      <c r="H196" s="46"/>
      <c r="I196" s="46"/>
      <c r="J196" s="46"/>
      <c r="K196" s="46"/>
    </row>
    <row r="197" customFormat="false" ht="15" hidden="false" customHeight="false" outlineLevel="0" collapsed="false">
      <c r="A197" s="49" t="s">
        <v>431</v>
      </c>
      <c r="B197" s="53" t="n">
        <v>0.1</v>
      </c>
      <c r="C197" s="51" t="s">
        <v>180</v>
      </c>
      <c r="D197" s="51" t="s">
        <v>432</v>
      </c>
      <c r="E197" s="46"/>
      <c r="F197" s="46"/>
      <c r="G197" s="46"/>
      <c r="H197" s="46"/>
      <c r="I197" s="46"/>
      <c r="J197" s="46"/>
      <c r="K197" s="46"/>
    </row>
    <row r="198" customFormat="false" ht="15" hidden="false" customHeight="false" outlineLevel="0" collapsed="false">
      <c r="A198" s="49" t="s">
        <v>433</v>
      </c>
      <c r="B198" s="60" t="n">
        <v>78</v>
      </c>
      <c r="C198" s="51" t="s">
        <v>247</v>
      </c>
      <c r="D198" s="51" t="s">
        <v>434</v>
      </c>
      <c r="E198" s="46"/>
      <c r="F198" s="46"/>
      <c r="G198" s="46"/>
      <c r="H198" s="46"/>
      <c r="I198" s="46"/>
      <c r="J198" s="46"/>
      <c r="K198" s="46"/>
    </row>
    <row r="199" customFormat="false" ht="15" hidden="false" customHeight="false" outlineLevel="0" collapsed="false">
      <c r="A199" s="49" t="s">
        <v>435</v>
      </c>
      <c r="B199" s="55" t="n">
        <f aca="false">Inputs!$B$147</f>
        <v>38597</v>
      </c>
      <c r="C199" s="51" t="s">
        <v>351</v>
      </c>
      <c r="D199" s="51" t="s">
        <v>436</v>
      </c>
      <c r="E199" s="46"/>
      <c r="F199" s="46"/>
      <c r="G199" s="46"/>
      <c r="H199" s="46"/>
      <c r="I199" s="46"/>
      <c r="J199" s="46"/>
      <c r="K199" s="46"/>
    </row>
    <row r="200" customFormat="false" ht="15" hidden="false" customHeight="false" outlineLevel="0" collapsed="false">
      <c r="A200" s="49" t="s">
        <v>437</v>
      </c>
      <c r="B200" s="54" t="n">
        <v>1</v>
      </c>
      <c r="C200" s="51" t="s">
        <v>187</v>
      </c>
      <c r="D200" s="51" t="s">
        <v>438</v>
      </c>
      <c r="E200" s="46"/>
      <c r="F200" s="46"/>
      <c r="G200" s="46"/>
      <c r="H200" s="46"/>
      <c r="I200" s="46"/>
      <c r="J200" s="46"/>
      <c r="K200" s="46"/>
    </row>
    <row r="201" customFormat="false" ht="15" hidden="false" customHeight="false" outlineLevel="0" collapsed="false">
      <c r="A201" s="49" t="s">
        <v>439</v>
      </c>
      <c r="B201" s="53" t="n">
        <v>0.2</v>
      </c>
      <c r="C201" s="51" t="s">
        <v>180</v>
      </c>
      <c r="D201" s="51" t="s">
        <v>440</v>
      </c>
      <c r="E201" s="46"/>
      <c r="F201" s="46"/>
      <c r="G201" s="46"/>
      <c r="H201" s="46"/>
      <c r="I201" s="46"/>
      <c r="J201" s="46"/>
      <c r="K201" s="46"/>
    </row>
    <row r="202" customFormat="false" ht="15" hidden="false" customHeight="false" outlineLevel="0" collapsed="false">
      <c r="A202" s="49" t="s">
        <v>441</v>
      </c>
      <c r="B202" s="53" t="n">
        <v>0.55</v>
      </c>
      <c r="C202" s="51" t="s">
        <v>180</v>
      </c>
      <c r="D202" s="51" t="s">
        <v>183</v>
      </c>
      <c r="E202" s="46"/>
      <c r="F202" s="46"/>
      <c r="G202" s="46"/>
      <c r="H202" s="46"/>
      <c r="I202" s="46"/>
      <c r="J202" s="46"/>
      <c r="K202" s="46"/>
    </row>
    <row r="203" customFormat="false" ht="15" hidden="false" customHeight="false" outlineLevel="0" collapsed="false">
      <c r="A203" s="49" t="s">
        <v>442</v>
      </c>
      <c r="B203" s="53" t="n">
        <v>0.25</v>
      </c>
      <c r="C203" s="51" t="s">
        <v>180</v>
      </c>
      <c r="D203" s="51" t="s">
        <v>443</v>
      </c>
      <c r="E203" s="46"/>
      <c r="F203" s="46"/>
      <c r="G203" s="46"/>
      <c r="H203" s="46"/>
      <c r="I203" s="46"/>
      <c r="J203" s="46"/>
      <c r="K203" s="46"/>
    </row>
    <row r="204" customFormat="false" ht="15" hidden="false" customHeight="false" outlineLevel="0" collapsed="false">
      <c r="A204" s="45" t="s">
        <v>444</v>
      </c>
      <c r="B204" s="46"/>
      <c r="C204" s="46"/>
      <c r="D204" s="46"/>
      <c r="E204" s="46"/>
      <c r="F204" s="46"/>
      <c r="G204" s="46"/>
      <c r="H204" s="46"/>
      <c r="I204" s="46"/>
      <c r="J204" s="46"/>
      <c r="K204" s="4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2026-10-22T07:32:46Z</dcterms:created>
  <dc:creator>openpyxl</dc:creator>
  <dc:description/>
  <dc:language>en-US</dc:language>
  <cp:lastModifiedBy/>
  <dcterms:modified xsi:type="dcterms:W3CDTF">2026-10-22T07:32:46Z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